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декабрь 2019\"/>
    </mc:Choice>
  </mc:AlternateContent>
  <bookViews>
    <workbookView xWindow="240" yWindow="585" windowWidth="12225" windowHeight="4515"/>
  </bookViews>
  <sheets>
    <sheet name="2019" sheetId="13" r:id="rId1"/>
  </sheets>
  <definedNames>
    <definedName name="_xlnm.Print_Area" localSheetId="0">'2019'!$A$2:$R$29</definedName>
  </definedNames>
  <calcPr calcId="162913"/>
</workbook>
</file>

<file path=xl/calcChain.xml><?xml version="1.0" encoding="utf-8"?>
<calcChain xmlns="http://schemas.openxmlformats.org/spreadsheetml/2006/main">
  <c r="D25" i="13" l="1"/>
  <c r="J25" i="13"/>
  <c r="M25" i="13"/>
  <c r="R25" i="13" s="1"/>
  <c r="Q28" i="13" l="1"/>
  <c r="L28" i="13"/>
  <c r="K28" i="13"/>
  <c r="I28" i="13"/>
  <c r="H28" i="13"/>
  <c r="F28" i="13"/>
  <c r="D26" i="13" l="1"/>
  <c r="M24" i="13" l="1"/>
  <c r="D24" i="13" l="1"/>
  <c r="J24" i="13"/>
  <c r="R24" i="13" s="1"/>
  <c r="M23" i="13" l="1"/>
  <c r="D23" i="13" l="1"/>
  <c r="J23" i="13"/>
  <c r="R23" i="13" s="1"/>
  <c r="N22" i="13" l="1"/>
  <c r="O22" i="13" l="1"/>
  <c r="M22" i="13"/>
  <c r="D22" i="13" l="1"/>
  <c r="J22" i="13"/>
  <c r="R22" i="13" s="1"/>
  <c r="D21" i="13" l="1"/>
  <c r="D28" i="13" s="1"/>
  <c r="B21" i="13" l="1"/>
  <c r="B28" i="13" s="1"/>
  <c r="O21" i="13" l="1"/>
  <c r="P20" i="13" l="1"/>
  <c r="P28" i="13" s="1"/>
  <c r="M21" i="13" l="1"/>
  <c r="J21" i="13" l="1"/>
  <c r="R21" i="13" s="1"/>
  <c r="M20" i="13" l="1"/>
  <c r="O20" i="13" l="1"/>
  <c r="J20" i="13" l="1"/>
  <c r="R20" i="13" s="1"/>
  <c r="N19" i="13" l="1"/>
  <c r="L10" i="13" l="1"/>
  <c r="G10" i="13"/>
  <c r="G18" i="13"/>
  <c r="G28" i="13" s="1"/>
  <c r="M19" i="13" l="1"/>
  <c r="J19" i="13" l="1"/>
  <c r="R19" i="13" s="1"/>
  <c r="J18" i="13" l="1"/>
  <c r="R18" i="13" s="1"/>
  <c r="M17" i="13" l="1"/>
  <c r="J17" i="13" l="1"/>
  <c r="R17" i="13" s="1"/>
  <c r="J16" i="13" l="1"/>
  <c r="M16" i="13"/>
  <c r="O16" i="13"/>
  <c r="O28" i="13" s="1"/>
  <c r="R16" i="13" l="1"/>
  <c r="M15" i="13"/>
  <c r="N15" i="13" l="1"/>
  <c r="N28" i="13" s="1"/>
  <c r="J15" i="13" l="1"/>
  <c r="R15" i="13" s="1"/>
  <c r="M14" i="13" l="1"/>
  <c r="M28" i="13" s="1"/>
  <c r="J14" i="13" l="1"/>
  <c r="J28" i="13" s="1"/>
  <c r="R14" i="13" l="1"/>
  <c r="R28" i="13" s="1"/>
  <c r="Q10" i="13"/>
  <c r="P10" i="13"/>
  <c r="O10" i="13"/>
  <c r="N10" i="13"/>
  <c r="K10" i="13"/>
  <c r="J10" i="13"/>
  <c r="I10" i="13"/>
  <c r="H10" i="13"/>
  <c r="F10" i="13"/>
  <c r="E8" i="13"/>
  <c r="M10" i="13"/>
  <c r="R8" i="13"/>
  <c r="R10" i="13" l="1"/>
  <c r="Q29" i="13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N1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1550-реестр собственников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2500-метрологические услуги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8115-премия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3500-монтаж сетки 10,5м
1500-поверка счетчика воды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41410-почтовые ящики+установка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54000-стоимость р-т по диагностике внутридомового газового оборудования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54000-стоимость р-т по диагностике внутридомового газового оборудования</t>
        </r>
      </text>
    </comment>
    <comment ref="N22" authorId="1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1253,76-тех.обслуживание ОДГО</t>
        </r>
      </text>
    </comment>
    <comment ref="N2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10000-освидетельствование лифтов</t>
        </r>
      </text>
    </comment>
  </commentList>
</comments>
</file>

<file path=xl/sharedStrings.xml><?xml version="1.0" encoding="utf-8"?>
<sst xmlns="http://schemas.openxmlformats.org/spreadsheetml/2006/main" count="105" uniqueCount="68">
  <si>
    <t>Содержание</t>
  </si>
  <si>
    <t>ремонт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</si>
  <si>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</si>
  <si>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</si>
  <si>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</si>
  <si>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</si>
  <si>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</si>
  <si>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</si>
  <si>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</si>
  <si>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</si>
  <si>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</si>
  <si>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</si>
  <si>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</si>
  <si>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</si>
  <si>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</si>
  <si>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</si>
  <si>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</si>
  <si>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</si>
  <si>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</si>
  <si>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</si>
  <si>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</si>
  <si>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</si>
  <si>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</si>
  <si>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</si>
  <si>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</si>
  <si>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</si>
  <si>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</si>
  <si>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</si>
  <si>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</si>
  <si>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</si>
  <si>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</si>
  <si>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</si>
  <si>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</si>
  <si>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</si>
  <si>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</si>
  <si>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</si>
  <si>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</si>
  <si>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</si>
  <si>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</si>
  <si>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</si>
  <si>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</si>
  <si>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</si>
  <si>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</si>
  <si>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</si>
  <si>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</si>
  <si>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</si>
  <si>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</si>
  <si>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</si>
  <si>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</si>
  <si>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</si>
  <si>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</si>
  <si>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</si>
  <si>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</si>
  <si>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х/в</t>
  </si>
  <si>
    <t>эл-во</t>
  </si>
  <si>
    <t xml:space="preserve">русский капитал </t>
  </si>
  <si>
    <t>Информация о доходах и расходах по дому __Горийская 1__на 2019год.</t>
  </si>
  <si>
    <t>лампочки на лифты, масло,солярка (испытание лифтов)</t>
  </si>
  <si>
    <t>замена батарейки на теплоузле</t>
  </si>
  <si>
    <t>Работы по уборке придомовой территории</t>
  </si>
  <si>
    <t>реестр собственников</t>
  </si>
  <si>
    <t>метрологические услуги</t>
  </si>
  <si>
    <t>общехозяйственные расходы</t>
  </si>
  <si>
    <t>монтаж сетки 10,5м</t>
  </si>
  <si>
    <t>поверка счетчика воды</t>
  </si>
  <si>
    <t>почтовые ящики+установка</t>
  </si>
  <si>
    <t>диагностика внутридомового газового оборудования</t>
  </si>
  <si>
    <t>освидетельствование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</si>
</sst>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0" xfId="0" applyFill="1" applyBorder="1"/>
    <xf numFmtId="0" fontId="0" fillId="0" borderId="4" xfId="0" applyBorder="1"/>
    <xf numFmtId="4" fontId="0" fillId="0" borderId="0" xfId="0" applyNumberForma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wrapText="1"/>
    </xf>
    <xf numFmtId="2" fontId="3" fillId="4" borderId="12" xfId="0" applyNumberFormat="1" applyFont="1" applyFill="1" applyBorder="1" applyAlignment="1"/>
    <xf numFmtId="2" fontId="3" fillId="0" borderId="5" xfId="0" applyNumberFormat="1" applyFont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6" fillId="8" borderId="4" xfId="0" applyNumberFormat="1" applyFont="1" applyFill="1" applyBorder="1" applyAlignment="1">
      <alignment horizontal="left"/>
    </xf>
    <xf numFmtId="164" fontId="2" fillId="7" borderId="4" xfId="0" applyNumberFormat="1" applyFont="1" applyFill="1" applyBorder="1"/>
    <xf numFmtId="164" fontId="2" fillId="7" borderId="5" xfId="0" applyNumberFormat="1" applyFont="1" applyFill="1" applyBorder="1"/>
    <xf numFmtId="4" fontId="2" fillId="7" borderId="4" xfId="0" applyNumberFormat="1" applyFont="1" applyFill="1" applyBorder="1"/>
    <xf numFmtId="17" fontId="6" fillId="9" borderId="4" xfId="0" applyNumberFormat="1" applyFont="1" applyFill="1" applyBorder="1" applyAlignment="1">
      <alignment horizontal="left" wrapText="1"/>
    </xf>
    <xf numFmtId="0" fontId="6" fillId="2" borderId="4" xfId="0" applyFont="1" applyFill="1" applyBorder="1"/>
    <xf numFmtId="164" fontId="2" fillId="2" borderId="4" xfId="0" applyNumberFormat="1" applyFont="1" applyFill="1" applyBorder="1"/>
    <xf numFmtId="4" fontId="3" fillId="2" borderId="4" xfId="0" applyNumberFormat="1" applyFont="1" applyFill="1" applyBorder="1"/>
    <xf numFmtId="164" fontId="2" fillId="10" borderId="4" xfId="0" applyNumberFormat="1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164" fontId="8" fillId="0" borderId="0" xfId="0" applyNumberFormat="1" applyFont="1" applyFill="1" applyBorder="1"/>
    <xf numFmtId="2" fontId="3" fillId="0" borderId="4" xfId="0" applyNumberFormat="1" applyFont="1" applyFill="1" applyBorder="1" applyAlignment="1">
      <alignment vertical="top" wrapText="1"/>
    </xf>
    <xf numFmtId="164" fontId="10" fillId="2" borderId="4" xfId="0" applyNumberFormat="1" applyFont="1" applyFill="1" applyBorder="1"/>
    <xf numFmtId="164" fontId="2" fillId="0" borderId="0" xfId="0" applyNumberFormat="1" applyFont="1"/>
    <xf numFmtId="2" fontId="2" fillId="0" borderId="5" xfId="0" applyNumberFormat="1" applyFont="1" applyBorder="1" applyAlignment="1">
      <alignment vertical="top" textRotation="90" wrapText="1"/>
    </xf>
    <xf numFmtId="2" fontId="3" fillId="4" borderId="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4" fontId="10" fillId="11" borderId="4" xfId="0" applyNumberFormat="1" applyFont="1" applyFill="1" applyBorder="1"/>
    <xf numFmtId="164" fontId="2" fillId="10" borderId="4" xfId="0" applyNumberFormat="1" applyFont="1" applyFill="1" applyBorder="1" applyAlignment="1"/>
    <xf numFmtId="164" fontId="10" fillId="5" borderId="4" xfId="0" applyNumberFormat="1" applyFont="1" applyFill="1" applyBorder="1"/>
    <xf numFmtId="4" fontId="10" fillId="4" borderId="4" xfId="0" applyNumberFormat="1" applyFont="1" applyFill="1" applyBorder="1"/>
    <xf numFmtId="0" fontId="9" fillId="4" borderId="2" xfId="0" applyNumberFormat="1" applyFont="1" applyFill="1" applyBorder="1" applyAlignment="1">
      <alignment wrapText="1"/>
    </xf>
    <xf numFmtId="164" fontId="2" fillId="7" borderId="0" xfId="0" applyNumberFormat="1" applyFont="1" applyFill="1" applyBorder="1"/>
    <xf numFmtId="17" fontId="2" fillId="9" borderId="4" xfId="0" applyNumberFormat="1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2" fillId="4" borderId="4" xfId="0" applyNumberFormat="1" applyFont="1" applyFill="1" applyBorder="1" applyAlignment="1">
      <alignment horizontal="right" vertical="top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6" fillId="0" borderId="4" xfId="0" applyNumberFormat="1" applyFont="1" applyBorder="1" applyAlignment="1">
      <alignment vertical="top"/>
    </xf>
    <xf numFmtId="164" fontId="0" fillId="0" borderId="0" xfId="0" applyNumberFormat="1"/>
    <xf numFmtId="164" fontId="13" fillId="0" borderId="0" xfId="0" applyNumberFormat="1" applyFont="1"/>
    <xf numFmtId="164" fontId="10" fillId="0" borderId="0" xfId="0" applyNumberFormat="1" applyFont="1" applyFill="1" applyBorder="1"/>
    <xf numFmtId="0" fontId="0" fillId="0" borderId="0" xfId="0" applyFill="1"/>
    <xf numFmtId="164" fontId="2" fillId="3" borderId="2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2" fontId="1" fillId="7" borderId="7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wrapText="1"/>
    </xf>
    <xf numFmtId="0" fontId="0" fillId="3" borderId="7" xfId="0" applyFill="1" applyBorder="1"/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3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T45"/>
  <sheetViews>
    <sheetView tabSelected="1" zoomScaleNormal="100" workbookViewId="0">
      <selection activeCell="R37" sqref="R37"/>
    </sheetView>
  </sheetViews>
  <sheetFormatPr defaultRowHeight="12.75" x14ac:dyDescent="0.2"/>
  <cols>
    <col min="3" max="3" width="6.140625" customWidth="1"/>
    <col min="4" max="4" width="9.7109375" customWidth="1"/>
    <col min="6" max="6" width="9.85546875" customWidth="1"/>
    <col min="7" max="7" width="9.7109375" customWidth="1"/>
    <col min="8" max="8" width="9.85546875" customWidth="1"/>
    <col min="10" max="10" width="10.140625" bestFit="1" customWidth="1"/>
    <col min="11" max="11" width="10.140625" customWidth="1"/>
    <col min="12" max="12" width="10" customWidth="1"/>
    <col min="13" max="13" width="11.7109375" bestFit="1" customWidth="1"/>
    <col min="14" max="14" width="10" customWidth="1"/>
    <col min="16" max="16" width="8.85546875" customWidth="1"/>
    <col min="17" max="17" width="9.85546875" customWidth="1"/>
    <col min="18" max="18" width="10" customWidth="1"/>
  </cols>
  <sheetData>
    <row r="2" spans="1:20" ht="15.75" x14ac:dyDescent="0.25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20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0" x14ac:dyDescent="0.2">
      <c r="A4" s="84"/>
      <c r="B4" s="85"/>
      <c r="C4" s="85"/>
      <c r="D4" s="85"/>
      <c r="E4" s="86"/>
      <c r="F4" s="87" t="s">
        <v>17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4"/>
    </row>
    <row r="5" spans="1:20" ht="12.75" customHeight="1" x14ac:dyDescent="0.2">
      <c r="A5" s="6"/>
      <c r="B5" s="90" t="s">
        <v>18</v>
      </c>
      <c r="C5" s="91"/>
      <c r="D5" s="91"/>
      <c r="E5" s="92"/>
      <c r="F5" s="93" t="s">
        <v>0</v>
      </c>
      <c r="G5" s="94"/>
      <c r="H5" s="94"/>
      <c r="I5" s="94"/>
      <c r="J5" s="94"/>
      <c r="K5" s="94"/>
      <c r="L5" s="94"/>
      <c r="M5" s="94"/>
      <c r="N5" s="94"/>
      <c r="O5" s="95" t="s">
        <v>19</v>
      </c>
      <c r="P5" s="96"/>
      <c r="Q5" s="99" t="s">
        <v>20</v>
      </c>
      <c r="R5" s="102" t="s">
        <v>9</v>
      </c>
    </row>
    <row r="6" spans="1:20" ht="12.75" customHeight="1" x14ac:dyDescent="0.2">
      <c r="A6" s="7"/>
      <c r="B6" s="78" t="s">
        <v>21</v>
      </c>
      <c r="C6" s="78" t="s">
        <v>1</v>
      </c>
      <c r="D6" s="78" t="s">
        <v>49</v>
      </c>
      <c r="E6" s="80" t="s">
        <v>2</v>
      </c>
      <c r="F6" s="76" t="s">
        <v>22</v>
      </c>
      <c r="G6" s="76" t="s">
        <v>59</v>
      </c>
      <c r="H6" s="76" t="s">
        <v>23</v>
      </c>
      <c r="I6" s="76" t="s">
        <v>24</v>
      </c>
      <c r="J6" s="76" t="s">
        <v>25</v>
      </c>
      <c r="K6" s="76" t="s">
        <v>52</v>
      </c>
      <c r="L6" s="76" t="s">
        <v>62</v>
      </c>
      <c r="M6" s="71" t="s">
        <v>26</v>
      </c>
      <c r="N6" s="73"/>
      <c r="O6" s="97"/>
      <c r="P6" s="98"/>
      <c r="Q6" s="100"/>
      <c r="R6" s="103"/>
    </row>
    <row r="7" spans="1:20" ht="129.75" x14ac:dyDescent="0.2">
      <c r="A7" s="8"/>
      <c r="B7" s="79"/>
      <c r="C7" s="79"/>
      <c r="D7" s="79"/>
      <c r="E7" s="81"/>
      <c r="F7" s="77"/>
      <c r="G7" s="77"/>
      <c r="H7" s="77"/>
      <c r="I7" s="77"/>
      <c r="J7" s="77"/>
      <c r="K7" s="77"/>
      <c r="L7" s="77"/>
      <c r="M7" s="28" t="s">
        <v>50</v>
      </c>
      <c r="N7" s="28" t="s">
        <v>51</v>
      </c>
      <c r="O7" s="45" t="s">
        <v>27</v>
      </c>
      <c r="P7" s="45" t="s">
        <v>28</v>
      </c>
      <c r="Q7" s="101"/>
      <c r="R7" s="104"/>
    </row>
    <row r="8" spans="1:20" ht="15" x14ac:dyDescent="0.25">
      <c r="A8" s="37">
        <v>2019</v>
      </c>
      <c r="B8" s="46">
        <v>13.5</v>
      </c>
      <c r="C8" s="46">
        <v>3.3</v>
      </c>
      <c r="D8" s="46">
        <v>1.2</v>
      </c>
      <c r="E8" s="10">
        <f>SUM(B8:D8)</f>
        <v>18</v>
      </c>
      <c r="F8" s="40">
        <v>1</v>
      </c>
      <c r="G8" s="40">
        <v>1.35</v>
      </c>
      <c r="H8" s="40">
        <v>1.8</v>
      </c>
      <c r="I8" s="40">
        <v>0.5</v>
      </c>
      <c r="J8" s="40">
        <v>0.8</v>
      </c>
      <c r="K8" s="40">
        <v>5.4</v>
      </c>
      <c r="L8" s="40">
        <v>2.15</v>
      </c>
      <c r="M8" s="41">
        <v>0</v>
      </c>
      <c r="N8" s="40">
        <v>0.5</v>
      </c>
      <c r="O8" s="25">
        <v>1.8</v>
      </c>
      <c r="P8" s="25">
        <v>1.5</v>
      </c>
      <c r="Q8" s="29">
        <v>1.2</v>
      </c>
      <c r="R8" s="9">
        <f>SUM(F8:Q8)</f>
        <v>18.000000000000004</v>
      </c>
      <c r="S8" s="1"/>
      <c r="T8" s="1"/>
    </row>
    <row r="9" spans="1:20" ht="22.5" x14ac:dyDescent="0.2">
      <c r="A9" s="68" t="s">
        <v>29</v>
      </c>
      <c r="B9" s="69"/>
      <c r="C9" s="69"/>
      <c r="D9" s="70"/>
      <c r="E9" s="10">
        <v>7915.2</v>
      </c>
      <c r="F9" s="71" t="s">
        <v>30</v>
      </c>
      <c r="G9" s="72"/>
      <c r="H9" s="72"/>
      <c r="I9" s="72"/>
      <c r="J9" s="72"/>
      <c r="K9" s="72"/>
      <c r="L9" s="72"/>
      <c r="M9" s="72"/>
      <c r="N9" s="73"/>
      <c r="O9" s="56" t="s">
        <v>31</v>
      </c>
      <c r="P9" s="57"/>
      <c r="Q9" s="9" t="s">
        <v>32</v>
      </c>
      <c r="R9" s="9"/>
    </row>
    <row r="10" spans="1:20" x14ac:dyDescent="0.2">
      <c r="A10" s="58" t="s">
        <v>33</v>
      </c>
      <c r="B10" s="59"/>
      <c r="C10" s="59"/>
      <c r="D10" s="59"/>
      <c r="E10" s="60"/>
      <c r="F10" s="11">
        <f>F8*E9</f>
        <v>7915.2</v>
      </c>
      <c r="G10" s="11">
        <f>G8*E9</f>
        <v>10685.52</v>
      </c>
      <c r="H10" s="11">
        <f>H8*E9</f>
        <v>14247.36</v>
      </c>
      <c r="I10" s="11">
        <f>I8*E9</f>
        <v>3957.6</v>
      </c>
      <c r="J10" s="11">
        <f>J8*E9</f>
        <v>6332.16</v>
      </c>
      <c r="K10" s="11">
        <f>K8*E9</f>
        <v>42742.080000000002</v>
      </c>
      <c r="L10" s="11">
        <f>E9*L8</f>
        <v>17017.68</v>
      </c>
      <c r="M10" s="11">
        <f>E9*M8</f>
        <v>0</v>
      </c>
      <c r="N10" s="11">
        <f>N8*E9</f>
        <v>3957.6</v>
      </c>
      <c r="O10" s="11">
        <f>O8*E9</f>
        <v>14247.36</v>
      </c>
      <c r="P10" s="11">
        <f>P8*E9</f>
        <v>11872.8</v>
      </c>
      <c r="Q10" s="11">
        <f>Q8*E9</f>
        <v>9498.24</v>
      </c>
      <c r="R10" s="11">
        <f>F10+G10+H10+I10+J10+K10+L10+M10+N10+O10+P10+Q10</f>
        <v>142473.60000000001</v>
      </c>
    </row>
    <row r="11" spans="1:20" x14ac:dyDescent="0.2">
      <c r="A11" s="61" t="s">
        <v>34</v>
      </c>
      <c r="B11" s="61"/>
      <c r="C11" s="61"/>
      <c r="D11" s="61"/>
      <c r="E11" s="62"/>
      <c r="F11" s="63" t="s">
        <v>35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5"/>
    </row>
    <row r="12" spans="1:20" x14ac:dyDescent="0.2">
      <c r="A12" s="66" t="s">
        <v>36</v>
      </c>
      <c r="B12" s="66"/>
      <c r="C12" s="66"/>
      <c r="D12" s="67"/>
      <c r="E12" s="36">
        <v>363903.90800000005</v>
      </c>
      <c r="F12" s="42"/>
      <c r="G12" s="43"/>
      <c r="H12" s="12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1:20" x14ac:dyDescent="0.2">
      <c r="A13" s="30"/>
      <c r="B13" s="74" t="s">
        <v>48</v>
      </c>
      <c r="C13" s="74"/>
      <c r="D13" s="31" t="s">
        <v>34</v>
      </c>
      <c r="E13" s="32" t="s">
        <v>16</v>
      </c>
      <c r="F13" s="42"/>
      <c r="G13" s="43"/>
      <c r="H13" s="12"/>
      <c r="I13" s="43"/>
      <c r="J13" s="43"/>
      <c r="K13" s="43"/>
      <c r="L13" s="43"/>
      <c r="M13" s="43"/>
      <c r="N13" s="43"/>
      <c r="O13" s="43"/>
      <c r="P13" s="43"/>
      <c r="Q13" s="43"/>
      <c r="R13" s="44"/>
    </row>
    <row r="14" spans="1:20" x14ac:dyDescent="0.2">
      <c r="A14" s="13" t="s">
        <v>37</v>
      </c>
      <c r="B14" s="51">
        <v>159597.6</v>
      </c>
      <c r="C14" s="75"/>
      <c r="D14" s="33">
        <v>155314.79999999999</v>
      </c>
      <c r="E14" s="34"/>
      <c r="F14" s="14">
        <v>7915.2</v>
      </c>
      <c r="G14" s="14">
        <v>10685.34</v>
      </c>
      <c r="H14" s="15">
        <v>14247.36</v>
      </c>
      <c r="I14" s="14">
        <v>4000</v>
      </c>
      <c r="J14" s="14">
        <f t="shared" ref="J14:J25" si="0">5657.19+674.97</f>
        <v>6332.16</v>
      </c>
      <c r="K14" s="14">
        <v>42628</v>
      </c>
      <c r="L14" s="14">
        <v>17017.68</v>
      </c>
      <c r="M14" s="14">
        <f>415.25+20504.75</f>
        <v>20920</v>
      </c>
      <c r="N14" s="14">
        <v>0</v>
      </c>
      <c r="O14" s="35">
        <v>32327</v>
      </c>
      <c r="P14" s="35">
        <v>0</v>
      </c>
      <c r="Q14" s="14">
        <v>9498.24</v>
      </c>
      <c r="R14" s="16">
        <f t="shared" ref="R14:R25" si="1">SUM(F14:Q14)</f>
        <v>165570.97999999998</v>
      </c>
    </row>
    <row r="15" spans="1:20" x14ac:dyDescent="0.2">
      <c r="A15" s="13" t="s">
        <v>38</v>
      </c>
      <c r="B15" s="51">
        <v>160403.67000000001</v>
      </c>
      <c r="C15" s="52"/>
      <c r="D15" s="33">
        <v>154559.88</v>
      </c>
      <c r="E15" s="34"/>
      <c r="F15" s="14">
        <v>7915.2</v>
      </c>
      <c r="G15" s="14">
        <v>10685.34</v>
      </c>
      <c r="H15" s="15">
        <v>14247.36</v>
      </c>
      <c r="I15" s="14">
        <v>4000</v>
      </c>
      <c r="J15" s="14">
        <f t="shared" si="0"/>
        <v>6332.16</v>
      </c>
      <c r="K15" s="14">
        <v>42628</v>
      </c>
      <c r="L15" s="14">
        <v>17017.68</v>
      </c>
      <c r="M15" s="14">
        <f>19587.75+83.05</f>
        <v>19670.8</v>
      </c>
      <c r="N15" s="14">
        <f>3484+1500</f>
        <v>4984</v>
      </c>
      <c r="O15" s="35">
        <v>690</v>
      </c>
      <c r="P15" s="35">
        <v>0</v>
      </c>
      <c r="Q15" s="14">
        <v>9498.24</v>
      </c>
      <c r="R15" s="16">
        <f t="shared" si="1"/>
        <v>137668.78</v>
      </c>
    </row>
    <row r="16" spans="1:20" x14ac:dyDescent="0.2">
      <c r="A16" t="s">
        <v>5</v>
      </c>
      <c r="B16" s="51">
        <v>161047.88</v>
      </c>
      <c r="C16" s="52"/>
      <c r="D16" s="33">
        <v>155477.84000000003</v>
      </c>
      <c r="E16" s="34"/>
      <c r="F16" s="14">
        <v>7915.2</v>
      </c>
      <c r="G16" s="14">
        <v>10685.34</v>
      </c>
      <c r="H16" s="15">
        <v>14247.36</v>
      </c>
      <c r="I16" s="14">
        <v>4000</v>
      </c>
      <c r="J16" s="14">
        <f t="shared" si="0"/>
        <v>6332.16</v>
      </c>
      <c r="K16" s="14">
        <v>42628</v>
      </c>
      <c r="L16" s="14">
        <v>17017.68</v>
      </c>
      <c r="M16" s="14">
        <f>415.25+16816.8</f>
        <v>17232.05</v>
      </c>
      <c r="N16" s="14">
        <v>1550</v>
      </c>
      <c r="O16" s="35">
        <f>382+3114</f>
        <v>3496</v>
      </c>
      <c r="P16" s="35">
        <v>0</v>
      </c>
      <c r="Q16" s="14">
        <v>9498.24</v>
      </c>
      <c r="R16" s="16">
        <f t="shared" si="1"/>
        <v>134602.03</v>
      </c>
    </row>
    <row r="17" spans="1:20" x14ac:dyDescent="0.2">
      <c r="A17" s="13" t="s">
        <v>39</v>
      </c>
      <c r="B17" s="51">
        <v>158716.48000000001</v>
      </c>
      <c r="C17" s="52"/>
      <c r="D17" s="33">
        <v>143956.71</v>
      </c>
      <c r="E17" s="34"/>
      <c r="F17" s="14">
        <v>7915.2</v>
      </c>
      <c r="G17" s="14">
        <v>10685.34</v>
      </c>
      <c r="H17" s="15">
        <v>14247.36</v>
      </c>
      <c r="I17" s="14">
        <v>4000</v>
      </c>
      <c r="J17" s="14">
        <f t="shared" si="0"/>
        <v>6332.16</v>
      </c>
      <c r="K17" s="14">
        <v>42628</v>
      </c>
      <c r="L17" s="14">
        <v>17017.68</v>
      </c>
      <c r="M17" s="14">
        <f>3571.15+19451.25</f>
        <v>23022.400000000001</v>
      </c>
      <c r="N17" s="14">
        <v>2500</v>
      </c>
      <c r="O17" s="35">
        <v>5756</v>
      </c>
      <c r="P17" s="35">
        <v>0</v>
      </c>
      <c r="Q17" s="14">
        <v>9498.24</v>
      </c>
      <c r="R17" s="16">
        <f t="shared" si="1"/>
        <v>143602.37999999998</v>
      </c>
    </row>
    <row r="18" spans="1:20" x14ac:dyDescent="0.2">
      <c r="A18" s="13" t="s">
        <v>7</v>
      </c>
      <c r="B18" s="51">
        <v>164486.68</v>
      </c>
      <c r="C18" s="52"/>
      <c r="D18" s="33">
        <v>176756.2</v>
      </c>
      <c r="E18" s="34"/>
      <c r="F18" s="14">
        <v>7915.2</v>
      </c>
      <c r="G18" s="14">
        <f>10685.34+8115</f>
        <v>18800.34</v>
      </c>
      <c r="H18" s="15">
        <v>14247.36</v>
      </c>
      <c r="I18" s="14">
        <v>4000</v>
      </c>
      <c r="J18" s="14">
        <f t="shared" si="0"/>
        <v>6332.16</v>
      </c>
      <c r="K18" s="14">
        <v>42628</v>
      </c>
      <c r="L18" s="14">
        <v>17017.68</v>
      </c>
      <c r="M18" s="14">
        <v>15897.7</v>
      </c>
      <c r="N18" s="14">
        <v>0</v>
      </c>
      <c r="O18" s="35">
        <v>11910</v>
      </c>
      <c r="P18" s="35">
        <v>0</v>
      </c>
      <c r="Q18" s="14">
        <v>9498.24</v>
      </c>
      <c r="R18" s="16">
        <f t="shared" si="1"/>
        <v>148246.68</v>
      </c>
    </row>
    <row r="19" spans="1:20" x14ac:dyDescent="0.2">
      <c r="A19" s="13" t="s">
        <v>8</v>
      </c>
      <c r="B19" s="51">
        <v>157351.93</v>
      </c>
      <c r="C19" s="52"/>
      <c r="D19" s="33">
        <v>161572.44</v>
      </c>
      <c r="E19" s="34"/>
      <c r="F19" s="14">
        <v>7915.2</v>
      </c>
      <c r="G19" s="14">
        <v>10685.34</v>
      </c>
      <c r="H19" s="15">
        <v>14247.36</v>
      </c>
      <c r="I19" s="14">
        <v>4000</v>
      </c>
      <c r="J19" s="14">
        <f t="shared" si="0"/>
        <v>6332.16</v>
      </c>
      <c r="K19" s="14">
        <v>42628</v>
      </c>
      <c r="L19" s="14">
        <v>17017.68</v>
      </c>
      <c r="M19" s="14">
        <f>415.25+19123.65</f>
        <v>19538.900000000001</v>
      </c>
      <c r="N19" s="14">
        <f>5000+6128</f>
        <v>11128</v>
      </c>
      <c r="O19" s="35">
        <v>1542</v>
      </c>
      <c r="P19" s="35">
        <v>0</v>
      </c>
      <c r="Q19" s="14">
        <v>9498.24</v>
      </c>
      <c r="R19" s="16">
        <f t="shared" si="1"/>
        <v>144532.87999999998</v>
      </c>
    </row>
    <row r="20" spans="1:20" x14ac:dyDescent="0.2">
      <c r="A20" s="13" t="s">
        <v>10</v>
      </c>
      <c r="B20" s="51">
        <v>160817.57</v>
      </c>
      <c r="C20" s="52"/>
      <c r="D20" s="33">
        <v>156875.54999999999</v>
      </c>
      <c r="E20" s="34"/>
      <c r="F20" s="14">
        <v>7915.2</v>
      </c>
      <c r="G20" s="14">
        <v>10685.34</v>
      </c>
      <c r="H20" s="15">
        <v>14247.36</v>
      </c>
      <c r="I20" s="14">
        <v>4000</v>
      </c>
      <c r="J20" s="14">
        <f t="shared" si="0"/>
        <v>6332.16</v>
      </c>
      <c r="K20" s="14">
        <v>42628</v>
      </c>
      <c r="L20" s="14">
        <v>17017.68</v>
      </c>
      <c r="M20" s="14">
        <f>341.8+18436.66</f>
        <v>18778.46</v>
      </c>
      <c r="N20" s="14">
        <v>41410</v>
      </c>
      <c r="O20" s="35">
        <f>20180+385+11537</f>
        <v>32102</v>
      </c>
      <c r="P20" s="35">
        <f>150921+132873</f>
        <v>283794</v>
      </c>
      <c r="Q20" s="14">
        <v>9498.24</v>
      </c>
      <c r="R20" s="16">
        <f t="shared" si="1"/>
        <v>488408.43999999994</v>
      </c>
      <c r="T20" s="3"/>
    </row>
    <row r="21" spans="1:20" x14ac:dyDescent="0.2">
      <c r="A21" s="13" t="s">
        <v>11</v>
      </c>
      <c r="B21" s="51">
        <f>161074.84+54000</f>
        <v>215074.84</v>
      </c>
      <c r="C21" s="52"/>
      <c r="D21" s="33">
        <f>164105.89+35717.43+800</f>
        <v>200623.32</v>
      </c>
      <c r="E21" s="34"/>
      <c r="F21" s="14">
        <v>7915.2</v>
      </c>
      <c r="G21" s="14">
        <v>10685.34</v>
      </c>
      <c r="H21" s="15">
        <v>14247.36</v>
      </c>
      <c r="I21" s="14">
        <v>4000</v>
      </c>
      <c r="J21" s="14">
        <f t="shared" si="0"/>
        <v>6332.16</v>
      </c>
      <c r="K21" s="14">
        <v>42628</v>
      </c>
      <c r="L21" s="14">
        <v>17017.68</v>
      </c>
      <c r="M21" s="14">
        <f>683.6+19793.25</f>
        <v>20476.849999999999</v>
      </c>
      <c r="N21" s="14">
        <v>54000</v>
      </c>
      <c r="O21" s="35">
        <f>1435+2452</f>
        <v>3887</v>
      </c>
      <c r="P21" s="35">
        <v>150921</v>
      </c>
      <c r="Q21" s="14">
        <v>9498.24</v>
      </c>
      <c r="R21" s="16">
        <f t="shared" si="1"/>
        <v>341608.82999999996</v>
      </c>
      <c r="T21" s="49"/>
    </row>
    <row r="22" spans="1:20" x14ac:dyDescent="0.2">
      <c r="A22" s="13" t="s">
        <v>40</v>
      </c>
      <c r="B22" s="51">
        <v>162734</v>
      </c>
      <c r="C22" s="52"/>
      <c r="D22" s="33">
        <f>137229.52+5200</f>
        <v>142429.51999999999</v>
      </c>
      <c r="E22" s="34"/>
      <c r="F22" s="14">
        <v>7915.2</v>
      </c>
      <c r="G22" s="14">
        <v>10685.34</v>
      </c>
      <c r="H22" s="15">
        <v>14247.36</v>
      </c>
      <c r="I22" s="14">
        <v>4000</v>
      </c>
      <c r="J22" s="14">
        <f t="shared" si="0"/>
        <v>6332.16</v>
      </c>
      <c r="K22" s="14">
        <v>42628</v>
      </c>
      <c r="L22" s="14">
        <v>17017.68</v>
      </c>
      <c r="M22" s="14">
        <f>769.05+18839.47</f>
        <v>19608.52</v>
      </c>
      <c r="N22" s="14">
        <f>1253.76+6128</f>
        <v>7381.76</v>
      </c>
      <c r="O22" s="35">
        <f>681+1238</f>
        <v>1919</v>
      </c>
      <c r="P22" s="35">
        <v>0</v>
      </c>
      <c r="Q22" s="14">
        <v>9498.24</v>
      </c>
      <c r="R22" s="16">
        <f t="shared" si="1"/>
        <v>141233.25999999998</v>
      </c>
    </row>
    <row r="23" spans="1:20" x14ac:dyDescent="0.2">
      <c r="A23" s="13" t="s">
        <v>41</v>
      </c>
      <c r="B23" s="51">
        <v>161865.4</v>
      </c>
      <c r="C23" s="52"/>
      <c r="D23" s="33">
        <f>142605.44+3250</f>
        <v>145855.44</v>
      </c>
      <c r="E23" s="34"/>
      <c r="F23" s="14">
        <v>7915.2</v>
      </c>
      <c r="G23" s="14">
        <v>10685.34</v>
      </c>
      <c r="H23" s="15">
        <v>14247.36</v>
      </c>
      <c r="I23" s="14">
        <v>4000</v>
      </c>
      <c r="J23" s="14">
        <f t="shared" si="0"/>
        <v>6332.16</v>
      </c>
      <c r="K23" s="14">
        <v>42628</v>
      </c>
      <c r="L23" s="14">
        <v>17017.68</v>
      </c>
      <c r="M23" s="14">
        <f>256.35+20038.64</f>
        <v>20294.989999999998</v>
      </c>
      <c r="N23" s="14">
        <v>0</v>
      </c>
      <c r="O23" s="35">
        <v>0</v>
      </c>
      <c r="P23" s="35">
        <v>150921</v>
      </c>
      <c r="Q23" s="14">
        <v>9498.24</v>
      </c>
      <c r="R23" s="16">
        <f t="shared" si="1"/>
        <v>283539.96999999997</v>
      </c>
    </row>
    <row r="24" spans="1:20" x14ac:dyDescent="0.2">
      <c r="A24" s="13" t="s">
        <v>42</v>
      </c>
      <c r="B24" s="51">
        <v>162551.35</v>
      </c>
      <c r="C24" s="52"/>
      <c r="D24" s="33">
        <f>158629.03+2800</f>
        <v>161429.03</v>
      </c>
      <c r="E24" s="34"/>
      <c r="F24" s="14">
        <v>7915.2</v>
      </c>
      <c r="G24" s="14">
        <v>10685.34</v>
      </c>
      <c r="H24" s="15">
        <v>14247.36</v>
      </c>
      <c r="I24" s="14">
        <v>4000</v>
      </c>
      <c r="J24" s="14">
        <f t="shared" si="0"/>
        <v>6332.16</v>
      </c>
      <c r="K24" s="14">
        <v>42628</v>
      </c>
      <c r="L24" s="14">
        <v>17017.68</v>
      </c>
      <c r="M24" s="14">
        <f>21154.47</f>
        <v>21154.47</v>
      </c>
      <c r="N24" s="14">
        <v>0</v>
      </c>
      <c r="O24" s="35">
        <v>4498</v>
      </c>
      <c r="P24" s="35">
        <v>0</v>
      </c>
      <c r="Q24" s="14">
        <v>9498.24</v>
      </c>
      <c r="R24" s="16">
        <f t="shared" si="1"/>
        <v>137976.44999999998</v>
      </c>
    </row>
    <row r="25" spans="1:20" x14ac:dyDescent="0.2">
      <c r="A25" s="13" t="s">
        <v>43</v>
      </c>
      <c r="B25" s="51">
        <v>163411.26</v>
      </c>
      <c r="C25" s="52"/>
      <c r="D25" s="33">
        <f>205107.41+800</f>
        <v>205907.41</v>
      </c>
      <c r="E25" s="34"/>
      <c r="F25" s="14">
        <v>7915.2</v>
      </c>
      <c r="G25" s="14">
        <v>10685.34</v>
      </c>
      <c r="H25" s="15">
        <v>14247.36</v>
      </c>
      <c r="I25" s="14">
        <v>4000</v>
      </c>
      <c r="J25" s="14">
        <f t="shared" si="0"/>
        <v>6332.16</v>
      </c>
      <c r="K25" s="14">
        <v>42628</v>
      </c>
      <c r="L25" s="14">
        <v>17017.68</v>
      </c>
      <c r="M25" s="14">
        <f>170.9+21362.82</f>
        <v>21533.72</v>
      </c>
      <c r="N25" s="14">
        <v>10000</v>
      </c>
      <c r="O25" s="35">
        <v>5381</v>
      </c>
      <c r="P25" s="35">
        <v>0</v>
      </c>
      <c r="Q25" s="14">
        <v>9498.24</v>
      </c>
      <c r="R25" s="16">
        <f t="shared" si="1"/>
        <v>149238.69999999998</v>
      </c>
    </row>
    <row r="26" spans="1:20" ht="24" x14ac:dyDescent="0.2">
      <c r="A26" s="17" t="s">
        <v>44</v>
      </c>
      <c r="B26" s="51">
        <v>0</v>
      </c>
      <c r="C26" s="52"/>
      <c r="D26" s="33">
        <f>3600+3600+3600+3600</f>
        <v>14400</v>
      </c>
      <c r="E26" s="21"/>
      <c r="F26" s="14"/>
      <c r="G26" s="14"/>
      <c r="H26" s="14"/>
      <c r="I26" s="14"/>
      <c r="J26" s="14"/>
      <c r="K26" s="14"/>
      <c r="L26" s="14"/>
      <c r="M26" s="14"/>
      <c r="N26" s="14"/>
      <c r="O26" s="35"/>
      <c r="P26" s="35"/>
      <c r="Q26" s="14"/>
      <c r="R26" s="16"/>
    </row>
    <row r="27" spans="1:20" ht="22.5" x14ac:dyDescent="0.2">
      <c r="A27" s="39" t="s">
        <v>55</v>
      </c>
      <c r="B27" s="51">
        <v>0</v>
      </c>
      <c r="C27" s="52"/>
      <c r="D27" s="33">
        <v>6587.28</v>
      </c>
      <c r="E27" s="21"/>
      <c r="F27" s="14"/>
      <c r="G27" s="14"/>
      <c r="H27" s="14"/>
      <c r="I27" s="14"/>
      <c r="J27" s="14"/>
      <c r="K27" s="14"/>
      <c r="L27" s="14"/>
      <c r="M27" s="14"/>
      <c r="N27" s="14"/>
      <c r="O27" s="35"/>
      <c r="P27" s="35"/>
      <c r="Q27" s="14"/>
      <c r="R27" s="16"/>
    </row>
    <row r="28" spans="1:20" x14ac:dyDescent="0.2">
      <c r="A28" s="18" t="s">
        <v>2</v>
      </c>
      <c r="B28" s="53">
        <f>SUM(B14:B27)</f>
        <v>1988058.6600000001</v>
      </c>
      <c r="C28" s="54"/>
      <c r="D28" s="26">
        <f>SUM(D14:D27)</f>
        <v>1981745.42</v>
      </c>
      <c r="E28" s="19"/>
      <c r="F28" s="19">
        <f t="shared" ref="F28:R28" si="2">SUM(F14:F27)</f>
        <v>94982.39999999998</v>
      </c>
      <c r="G28" s="19">
        <f t="shared" si="2"/>
        <v>136339.07999999999</v>
      </c>
      <c r="H28" s="19">
        <f t="shared" si="2"/>
        <v>170968.32000000001</v>
      </c>
      <c r="I28" s="19">
        <f t="shared" si="2"/>
        <v>48000</v>
      </c>
      <c r="J28" s="19">
        <f t="shared" si="2"/>
        <v>75985.920000000013</v>
      </c>
      <c r="K28" s="19">
        <f t="shared" si="2"/>
        <v>511536</v>
      </c>
      <c r="L28" s="19">
        <f t="shared" si="2"/>
        <v>204212.15999999995</v>
      </c>
      <c r="M28" s="26">
        <f t="shared" si="2"/>
        <v>238128.86</v>
      </c>
      <c r="N28" s="19">
        <f t="shared" si="2"/>
        <v>132953.76</v>
      </c>
      <c r="O28" s="26">
        <f t="shared" si="2"/>
        <v>103508</v>
      </c>
      <c r="P28" s="26">
        <f t="shared" si="2"/>
        <v>585636</v>
      </c>
      <c r="Q28" s="19">
        <f t="shared" si="2"/>
        <v>113978.88000000002</v>
      </c>
      <c r="R28" s="20">
        <f t="shared" si="2"/>
        <v>2416229.3800000004</v>
      </c>
    </row>
    <row r="29" spans="1:20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 t="s">
        <v>45</v>
      </c>
      <c r="Q29" s="55">
        <f>E12+D28-R28</f>
        <v>-70580.052000000607</v>
      </c>
      <c r="R29" s="55"/>
    </row>
    <row r="30" spans="1:20" x14ac:dyDescent="0.2">
      <c r="J30" s="5"/>
    </row>
    <row r="31" spans="1:20" x14ac:dyDescent="0.2">
      <c r="B31" t="s">
        <v>4</v>
      </c>
      <c r="C31">
        <v>3484</v>
      </c>
      <c r="D31" t="s">
        <v>57</v>
      </c>
      <c r="J31" s="1"/>
      <c r="K31" s="38" t="s">
        <v>3</v>
      </c>
      <c r="L31" s="38">
        <v>415.25</v>
      </c>
      <c r="M31" s="38" t="s">
        <v>53</v>
      </c>
      <c r="N31" s="38">
        <v>20504.75</v>
      </c>
      <c r="O31" s="38" t="s">
        <v>54</v>
      </c>
    </row>
    <row r="32" spans="1:20" x14ac:dyDescent="0.2">
      <c r="C32">
        <v>1500</v>
      </c>
      <c r="D32" t="s">
        <v>58</v>
      </c>
      <c r="G32" s="5"/>
      <c r="K32" s="38" t="s">
        <v>4</v>
      </c>
      <c r="L32" s="38">
        <v>83.05</v>
      </c>
      <c r="M32" s="38" t="s">
        <v>53</v>
      </c>
      <c r="N32" s="38">
        <v>19587.75</v>
      </c>
      <c r="O32" s="38" t="s">
        <v>54</v>
      </c>
    </row>
    <row r="33" spans="2:18" x14ac:dyDescent="0.2">
      <c r="B33" t="s">
        <v>5</v>
      </c>
      <c r="C33">
        <v>1550</v>
      </c>
      <c r="D33" t="s">
        <v>60</v>
      </c>
      <c r="K33" s="38" t="s">
        <v>5</v>
      </c>
      <c r="L33" s="38">
        <v>415.25</v>
      </c>
      <c r="M33" s="38" t="s">
        <v>53</v>
      </c>
      <c r="N33" s="38">
        <v>16816.8</v>
      </c>
      <c r="O33" s="38" t="s">
        <v>54</v>
      </c>
      <c r="Q33" s="1"/>
    </row>
    <row r="34" spans="2:18" x14ac:dyDescent="0.2">
      <c r="B34" t="s">
        <v>6</v>
      </c>
      <c r="C34">
        <v>2500</v>
      </c>
      <c r="D34" t="s">
        <v>61</v>
      </c>
      <c r="K34" s="38" t="s">
        <v>6</v>
      </c>
      <c r="L34" s="38">
        <v>3571.15</v>
      </c>
      <c r="M34" s="38" t="s">
        <v>53</v>
      </c>
      <c r="N34" s="38">
        <v>19451.25</v>
      </c>
      <c r="O34" s="38" t="s">
        <v>54</v>
      </c>
      <c r="Q34" s="5"/>
    </row>
    <row r="35" spans="2:18" x14ac:dyDescent="0.2">
      <c r="B35" t="s">
        <v>8</v>
      </c>
      <c r="C35">
        <v>3500</v>
      </c>
      <c r="D35" t="s">
        <v>63</v>
      </c>
      <c r="K35" s="38" t="s">
        <v>7</v>
      </c>
      <c r="L35" s="38">
        <v>0</v>
      </c>
      <c r="M35" s="38" t="s">
        <v>53</v>
      </c>
      <c r="N35" s="38">
        <v>15897.7</v>
      </c>
      <c r="O35" s="38" t="s">
        <v>54</v>
      </c>
    </row>
    <row r="36" spans="2:18" x14ac:dyDescent="0.2">
      <c r="C36">
        <v>1500</v>
      </c>
      <c r="D36" t="s">
        <v>64</v>
      </c>
      <c r="K36" s="38" t="s">
        <v>8</v>
      </c>
      <c r="L36" s="38">
        <v>415.25</v>
      </c>
      <c r="M36" s="38" t="s">
        <v>53</v>
      </c>
      <c r="N36" s="38">
        <v>19123.650000000001</v>
      </c>
      <c r="O36" s="38" t="s">
        <v>54</v>
      </c>
    </row>
    <row r="37" spans="2:18" x14ac:dyDescent="0.2">
      <c r="C37">
        <v>6128</v>
      </c>
      <c r="D37" t="s">
        <v>46</v>
      </c>
      <c r="K37" s="38" t="s">
        <v>10</v>
      </c>
      <c r="L37" s="38">
        <v>341.8</v>
      </c>
      <c r="M37" s="38" t="s">
        <v>53</v>
      </c>
      <c r="N37" s="38">
        <v>18436.66</v>
      </c>
      <c r="O37" s="38" t="s">
        <v>54</v>
      </c>
      <c r="R37" s="27"/>
    </row>
    <row r="38" spans="2:18" x14ac:dyDescent="0.2">
      <c r="B38" t="s">
        <v>10</v>
      </c>
      <c r="C38">
        <v>41410</v>
      </c>
      <c r="D38" t="s">
        <v>65</v>
      </c>
      <c r="G38" s="47"/>
      <c r="K38" s="38" t="s">
        <v>11</v>
      </c>
      <c r="L38" s="38">
        <v>683.6</v>
      </c>
      <c r="M38" s="38" t="s">
        <v>53</v>
      </c>
      <c r="N38" s="38">
        <v>19793.25</v>
      </c>
      <c r="O38" s="38" t="s">
        <v>54</v>
      </c>
    </row>
    <row r="39" spans="2:18" x14ac:dyDescent="0.2">
      <c r="B39" s="50"/>
      <c r="C39">
        <v>54000</v>
      </c>
      <c r="D39" t="s">
        <v>66</v>
      </c>
      <c r="K39" s="38" t="s">
        <v>12</v>
      </c>
      <c r="L39" s="38">
        <v>769.05</v>
      </c>
      <c r="M39" s="38" t="s">
        <v>53</v>
      </c>
      <c r="N39" s="38">
        <v>18839.47</v>
      </c>
      <c r="O39" s="38" t="s">
        <v>54</v>
      </c>
    </row>
    <row r="40" spans="2:18" x14ac:dyDescent="0.2">
      <c r="B40" t="s">
        <v>12</v>
      </c>
      <c r="C40">
        <v>1253.76</v>
      </c>
      <c r="D40" s="23" t="s">
        <v>47</v>
      </c>
      <c r="K40" s="38" t="s">
        <v>13</v>
      </c>
      <c r="L40" s="38">
        <v>256.35000000000002</v>
      </c>
      <c r="M40" s="38" t="s">
        <v>53</v>
      </c>
      <c r="N40" s="38">
        <v>20038.64</v>
      </c>
      <c r="O40" s="38" t="s">
        <v>54</v>
      </c>
    </row>
    <row r="41" spans="2:18" x14ac:dyDescent="0.2">
      <c r="C41">
        <v>6128</v>
      </c>
      <c r="D41" t="s">
        <v>46</v>
      </c>
      <c r="G41" s="48"/>
      <c r="K41" s="38" t="s">
        <v>14</v>
      </c>
      <c r="L41" s="38">
        <v>0</v>
      </c>
      <c r="M41" s="38" t="s">
        <v>53</v>
      </c>
      <c r="N41" s="38">
        <v>21154.47</v>
      </c>
      <c r="O41" s="38" t="s">
        <v>54</v>
      </c>
    </row>
    <row r="42" spans="2:18" x14ac:dyDescent="0.2">
      <c r="B42" t="s">
        <v>15</v>
      </c>
      <c r="C42">
        <v>10000</v>
      </c>
      <c r="D42" t="s">
        <v>67</v>
      </c>
      <c r="K42" s="38" t="s">
        <v>15</v>
      </c>
      <c r="L42" s="38">
        <v>170.9</v>
      </c>
      <c r="M42" s="38" t="s">
        <v>53</v>
      </c>
      <c r="N42" s="38">
        <v>21362.82</v>
      </c>
      <c r="O42" s="38" t="s">
        <v>54</v>
      </c>
    </row>
    <row r="43" spans="2:18" x14ac:dyDescent="0.2">
      <c r="C43" s="2"/>
      <c r="L43" s="47"/>
      <c r="N43" s="47"/>
    </row>
    <row r="44" spans="2:18" x14ac:dyDescent="0.2">
      <c r="M44" s="5"/>
    </row>
    <row r="45" spans="2:18" x14ac:dyDescent="0.2">
      <c r="M45" s="47"/>
    </row>
  </sheetData>
  <mergeCells count="45">
    <mergeCell ref="J6:J7"/>
    <mergeCell ref="K6:K7"/>
    <mergeCell ref="L6:L7"/>
    <mergeCell ref="G6:G7"/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M6:N6"/>
    <mergeCell ref="B6:B7"/>
    <mergeCell ref="C6:C7"/>
    <mergeCell ref="B16:C16"/>
    <mergeCell ref="B17:C17"/>
    <mergeCell ref="B18:C18"/>
    <mergeCell ref="H6:H7"/>
    <mergeCell ref="I6:I7"/>
    <mergeCell ref="D6:D7"/>
    <mergeCell ref="E6:E7"/>
    <mergeCell ref="F6:F7"/>
    <mergeCell ref="Q29:R29"/>
    <mergeCell ref="B25:C25"/>
    <mergeCell ref="O9:P9"/>
    <mergeCell ref="A10:E10"/>
    <mergeCell ref="A11:E11"/>
    <mergeCell ref="F11:R11"/>
    <mergeCell ref="A12:D12"/>
    <mergeCell ref="A9:D9"/>
    <mergeCell ref="F9:N9"/>
    <mergeCell ref="B13:C13"/>
    <mergeCell ref="B19:C19"/>
    <mergeCell ref="B20:C20"/>
    <mergeCell ref="B21:C21"/>
    <mergeCell ref="B22:C22"/>
    <mergeCell ref="B14:C14"/>
    <mergeCell ref="B15:C15"/>
    <mergeCell ref="B24:C24"/>
    <mergeCell ref="B23:C23"/>
    <mergeCell ref="B26:C26"/>
    <mergeCell ref="B27:C27"/>
    <mergeCell ref="B28:C28"/>
  </mergeCells>
  <pageMargins left="5.2083333333333336E-2" right="5.2083333333333336E-2" top="0.20833333333333334" bottom="8.3333333333333329E-2" header="0.3" footer="0.3"/>
  <pageSetup paperSize="9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2020-01-28T06:47:35Z</cp:lastPrinted>
  <dcterms:created xsi:type="dcterms:W3CDTF">2007-02-04T12:22:59Z</dcterms:created>
  <dcterms:modified xsi:type="dcterms:W3CDTF">2020-02-10T06:11:19Z</dcterms:modified>
</cp:coreProperties>
</file>