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05" windowWidth="12225" windowHeight="4395"/>
  </bookViews>
  <sheets>
    <sheet name="2020" sheetId="16" r:id="rId1"/>
    <sheet name="вода 2020" sheetId="18" r:id="rId2"/>
  </sheets>
  <definedNames>
    <definedName name="_xlnm.Print_Area" localSheetId="0">'2020'!$B$32:$O$44</definedName>
  </definedNames>
  <calcPr calcId="145621"/>
</workbook>
</file>

<file path=xl/calcChain.xml><?xml version="1.0" encoding="utf-8"?>
<calcChain xmlns="http://schemas.openxmlformats.org/spreadsheetml/2006/main">
  <c r="M26" i="16" l="1"/>
  <c r="O26" i="16" l="1"/>
  <c r="N26" i="16" l="1"/>
  <c r="I17" i="18" l="1"/>
  <c r="F17" i="18"/>
  <c r="J26" i="16"/>
  <c r="R26" i="16" s="1"/>
  <c r="Q29" i="16"/>
  <c r="P29" i="16"/>
  <c r="L29" i="16"/>
  <c r="K29" i="16"/>
  <c r="I29" i="16"/>
  <c r="H29" i="16"/>
  <c r="F29" i="16"/>
  <c r="B29" i="16"/>
  <c r="D27" i="16"/>
  <c r="O25" i="16" l="1"/>
  <c r="M25" i="16" l="1"/>
  <c r="J25" i="16" l="1"/>
  <c r="R25" i="16" s="1"/>
  <c r="I16" i="18"/>
  <c r="F16" i="18"/>
  <c r="M24" i="16" l="1"/>
  <c r="J24" i="16" l="1"/>
  <c r="R24" i="16" s="1"/>
  <c r="I15" i="18"/>
  <c r="F15" i="18"/>
  <c r="J23" i="16" l="1"/>
  <c r="M23" i="16"/>
  <c r="R23" i="16" l="1"/>
  <c r="I14" i="18"/>
  <c r="F14" i="18"/>
  <c r="O22" i="16" l="1"/>
  <c r="M22" i="16" l="1"/>
  <c r="I13" i="18" l="1"/>
  <c r="F13" i="18"/>
  <c r="D22" i="16"/>
  <c r="J22" i="16"/>
  <c r="R22" i="16" l="1"/>
  <c r="N21" i="16" l="1"/>
  <c r="N29" i="16" s="1"/>
  <c r="M21" i="16" l="1"/>
  <c r="I12" i="18" l="1"/>
  <c r="F12" i="18"/>
  <c r="J21" i="16"/>
  <c r="R21" i="16" s="1"/>
  <c r="G20" i="16" l="1"/>
  <c r="G29" i="16" s="1"/>
  <c r="D28" i="16" l="1"/>
  <c r="M20" i="16" l="1"/>
  <c r="I10" i="18" l="1"/>
  <c r="I11" i="18"/>
  <c r="F10" i="18"/>
  <c r="F11" i="18"/>
  <c r="J20" i="16"/>
  <c r="R20" i="16" s="1"/>
  <c r="M19" i="16" l="1"/>
  <c r="D19" i="16" l="1"/>
  <c r="J19" i="16"/>
  <c r="R19" i="16" s="1"/>
  <c r="I9" i="18" l="1"/>
  <c r="F9" i="18"/>
  <c r="M18" i="16" l="1"/>
  <c r="J18" i="16" l="1"/>
  <c r="R18" i="16" s="1"/>
  <c r="D18" i="16"/>
  <c r="I8" i="18" l="1"/>
  <c r="F8" i="18"/>
  <c r="D17" i="16" l="1"/>
  <c r="J17" i="16"/>
  <c r="M17" i="16"/>
  <c r="R17" i="16" l="1"/>
  <c r="M16" i="16"/>
  <c r="I7" i="18" l="1"/>
  <c r="F7" i="18"/>
  <c r="J16" i="16" l="1"/>
  <c r="R16" i="16" s="1"/>
  <c r="O15" i="16" l="1"/>
  <c r="O29" i="16" s="1"/>
  <c r="M15" i="16" l="1"/>
  <c r="M29" i="16" s="1"/>
  <c r="H18" i="18" l="1"/>
  <c r="G18" i="18"/>
  <c r="E18" i="18"/>
  <c r="D18" i="18"/>
  <c r="I6" i="18"/>
  <c r="I18" i="18" s="1"/>
  <c r="F6" i="18"/>
  <c r="F18" i="18" s="1"/>
  <c r="D15" i="16" l="1"/>
  <c r="D29" i="16" s="1"/>
  <c r="J15" i="16"/>
  <c r="J29" i="16" s="1"/>
  <c r="Q11" i="16"/>
  <c r="P11" i="16"/>
  <c r="O11" i="16"/>
  <c r="N11" i="16"/>
  <c r="M11" i="16"/>
  <c r="L11" i="16"/>
  <c r="K11" i="16"/>
  <c r="J11" i="16"/>
  <c r="I11" i="16"/>
  <c r="H11" i="16"/>
  <c r="G11" i="16"/>
  <c r="F11" i="16"/>
  <c r="R9" i="16"/>
  <c r="E9" i="16"/>
  <c r="R11" i="16" l="1"/>
  <c r="R15" i="16"/>
  <c r="R29" i="16" s="1"/>
  <c r="Q30" i="16" l="1"/>
</calcChain>
</file>

<file path=xl/comments1.xml><?xml version="1.0" encoding="utf-8"?>
<comments xmlns="http://schemas.openxmlformats.org/spreadsheetml/2006/main">
  <authors>
    <author>User</author>
  </authors>
  <commentList>
    <comment ref="N1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2800-материалы для испытания лифтов</t>
        </r>
      </text>
    </comment>
    <comment ref="G2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8226-премия разовая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923-окраска детской площадки</t>
        </r>
      </text>
    </comment>
    <comment ref="N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1500-очистка водостоков от мусора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с 19 без лифтов</t>
        </r>
      </text>
    </comment>
    <comment ref="N2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20000-замена тепловычислителя</t>
        </r>
      </text>
    </comment>
    <comment ref="N2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15000-поверка теплоузла
4000-приобретение огнетешителей 4шт
3000-ремонт блока вызова</t>
        </r>
      </text>
    </comment>
    <comment ref="N2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5000-изготовление и установка решетки
2000-подключение прибора отопления после поверки
1425-страхование лифтов</t>
        </r>
      </text>
    </comment>
  </commentList>
</comments>
</file>

<file path=xl/sharedStrings.xml><?xml version="1.0" encoding="utf-8"?>
<sst xmlns="http://schemas.openxmlformats.org/spreadsheetml/2006/main" count="128" uniqueCount="72">
  <si>
    <t>Содержание</t>
  </si>
  <si>
    <t>ремонт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</si>
  <si>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</si>
  <si>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</si>
  <si>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</si>
  <si>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</si>
  <si>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</si>
  <si>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</si>
  <si>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</si>
  <si>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</si>
  <si>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</si>
  <si>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</si>
  <si>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</si>
  <si>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</si>
  <si>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</si>
  <si>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</si>
  <si>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страхование лифтов</t>
  </si>
  <si>
    <t>Вода</t>
  </si>
  <si>
    <t>Стоки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</si>
  <si>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</si>
  <si>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</si>
  <si>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</si>
  <si>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</si>
  <si>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</si>
  <si>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</si>
  <si>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</si>
  <si>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</si>
  <si>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</si>
  <si>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</si>
  <si>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</si>
  <si>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</si>
  <si>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</si>
  <si>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</si>
  <si>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</si>
  <si>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</si>
  <si>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</si>
  <si>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</si>
  <si>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</si>
  <si>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</si>
  <si>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</si>
  <si>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</si>
  <si>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</si>
  <si>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</si>
  <si>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</si>
  <si>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</si>
  <si>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</si>
  <si>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</si>
  <si>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</si>
  <si>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</si>
  <si>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</si>
  <si>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материалы для испытания лифтов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</si>
  <si>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</si>
  <si>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</si>
  <si>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</si>
  <si>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</si>
  <si>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</si>
  <si>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 xml:space="preserve">                             расходы по содержанию и ремонту лифта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</si>
  <si>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</si>
  <si>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</si>
  <si>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</si>
  <si>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</si>
  <si>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__Горийская 1__на 2020год.</t>
  </si>
  <si>
    <t>Доходы и расходы по воде и стокам 2020 год</t>
  </si>
  <si>
    <t>ГПБ УА</t>
  </si>
  <si>
    <t>окраска детской площадки</t>
  </si>
  <si>
    <t>очистка водостоков от мусора</t>
  </si>
  <si>
    <t>замена тепловычислителя</t>
  </si>
  <si>
    <t>поверка теплоузла</t>
  </si>
  <si>
    <t>приобретение огнетешителей 4шт</t>
  </si>
  <si>
    <t>ремонт блока вызова</t>
  </si>
  <si>
    <t>изготовление и установка решетки</t>
  </si>
  <si>
    <t>подключение прибора отопления после поверки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</si>
</sst>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6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2" fontId="0" fillId="0" borderId="0" xfId="0" applyNumberFormat="1"/>
    <xf numFmtId="0" fontId="2" fillId="0" borderId="0" xfId="0" applyFont="1"/>
    <xf numFmtId="0" fontId="0" fillId="0" borderId="4" xfId="0" applyBorder="1"/>
    <xf numFmtId="4" fontId="0" fillId="0" borderId="0" xfId="0" applyNumberFormat="1"/>
    <xf numFmtId="0" fontId="1" fillId="5" borderId="12" xfId="0" applyFont="1" applyFill="1" applyBorder="1" applyAlignment="1"/>
    <xf numFmtId="0" fontId="1" fillId="5" borderId="12" xfId="0" applyFont="1" applyFill="1" applyBorder="1" applyAlignment="1">
      <alignment wrapText="1"/>
    </xf>
    <xf numFmtId="2" fontId="3" fillId="5" borderId="12" xfId="0" applyNumberFormat="1" applyFont="1" applyFill="1" applyBorder="1" applyAlignment="1"/>
    <xf numFmtId="2" fontId="3" fillId="0" borderId="5" xfId="0" applyNumberFormat="1" applyFont="1" applyBorder="1" applyAlignment="1">
      <alignment horizontal="center" vertical="top" wrapText="1"/>
    </xf>
    <xf numFmtId="4" fontId="6" fillId="5" borderId="4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2" fontId="2" fillId="8" borderId="11" xfId="0" applyNumberFormat="1" applyFont="1" applyFill="1" applyBorder="1" applyAlignment="1">
      <alignment horizontal="center" vertical="top" wrapText="1"/>
    </xf>
    <xf numFmtId="17" fontId="6" fillId="9" borderId="4" xfId="0" applyNumberFormat="1" applyFont="1" applyFill="1" applyBorder="1" applyAlignment="1">
      <alignment horizontal="left"/>
    </xf>
    <xf numFmtId="167" fontId="2" fillId="8" borderId="4" xfId="0" applyNumberFormat="1" applyFont="1" applyFill="1" applyBorder="1"/>
    <xf numFmtId="167" fontId="2" fillId="8" borderId="5" xfId="0" applyNumberFormat="1" applyFont="1" applyFill="1" applyBorder="1"/>
    <xf numFmtId="4" fontId="2" fillId="8" borderId="4" xfId="0" applyNumberFormat="1" applyFont="1" applyFill="1" applyBorder="1"/>
    <xf numFmtId="17" fontId="6" fillId="10" borderId="4" xfId="0" applyNumberFormat="1" applyFont="1" applyFill="1" applyBorder="1" applyAlignment="1">
      <alignment horizontal="left" wrapText="1"/>
    </xf>
    <xf numFmtId="0" fontId="6" fillId="3" borderId="4" xfId="0" applyFont="1" applyFill="1" applyBorder="1"/>
    <xf numFmtId="167" fontId="2" fillId="3" borderId="4" xfId="0" applyNumberFormat="1" applyFont="1" applyFill="1" applyBorder="1"/>
    <xf numFmtId="4" fontId="3" fillId="3" borderId="4" xfId="0" applyNumberFormat="1" applyFont="1" applyFill="1" applyBorder="1"/>
    <xf numFmtId="167" fontId="2" fillId="11" borderId="4" xfId="0" applyNumberFormat="1" applyFont="1" applyFill="1" applyBorder="1"/>
    <xf numFmtId="0" fontId="6" fillId="0" borderId="0" xfId="0" applyFont="1" applyFill="1" applyBorder="1"/>
    <xf numFmtId="167" fontId="2" fillId="0" borderId="0" xfId="0" applyNumberFormat="1" applyFont="1" applyFill="1" applyBorder="1"/>
    <xf numFmtId="167" fontId="8" fillId="0" borderId="0" xfId="0" applyNumberFormat="1" applyFont="1" applyFill="1" applyBorder="1"/>
    <xf numFmtId="2" fontId="3" fillId="0" borderId="4" xfId="0" applyNumberFormat="1" applyFont="1" applyFill="1" applyBorder="1" applyAlignment="1">
      <alignment vertical="top" wrapText="1"/>
    </xf>
    <xf numFmtId="167" fontId="9" fillId="3" borderId="4" xfId="0" applyNumberFormat="1" applyFont="1" applyFill="1" applyBorder="1"/>
    <xf numFmtId="0" fontId="11" fillId="2" borderId="7" xfId="0" applyFont="1" applyFill="1" applyBorder="1"/>
    <xf numFmtId="0" fontId="11" fillId="2" borderId="4" xfId="0" applyFont="1" applyFill="1" applyBorder="1"/>
    <xf numFmtId="0" fontId="11" fillId="4" borderId="4" xfId="0" applyFont="1" applyFill="1" applyBorder="1"/>
    <xf numFmtId="0" fontId="12" fillId="2" borderId="4" xfId="0" applyFont="1" applyFill="1" applyBorder="1"/>
    <xf numFmtId="0" fontId="12" fillId="4" borderId="4" xfId="0" applyFont="1" applyFill="1" applyBorder="1"/>
    <xf numFmtId="0" fontId="12" fillId="3" borderId="4" xfId="0" applyFont="1" applyFill="1" applyBorder="1"/>
    <xf numFmtId="2" fontId="2" fillId="0" borderId="5" xfId="0" applyNumberFormat="1" applyFont="1" applyBorder="1" applyAlignment="1">
      <alignment vertical="top" textRotation="90" wrapText="1"/>
    </xf>
    <xf numFmtId="2" fontId="3" fillId="5" borderId="5" xfId="0" applyNumberFormat="1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wrapText="1"/>
    </xf>
    <xf numFmtId="4" fontId="2" fillId="11" borderId="4" xfId="0" applyNumberFormat="1" applyFont="1" applyFill="1" applyBorder="1"/>
    <xf numFmtId="167" fontId="9" fillId="12" borderId="4" xfId="0" applyNumberFormat="1" applyFont="1" applyFill="1" applyBorder="1"/>
    <xf numFmtId="167" fontId="2" fillId="11" borderId="4" xfId="0" applyNumberFormat="1" applyFont="1" applyFill="1" applyBorder="1" applyAlignment="1"/>
    <xf numFmtId="167" fontId="9" fillId="6" borderId="4" xfId="0" applyNumberFormat="1" applyFont="1" applyFill="1" applyBorder="1"/>
    <xf numFmtId="4" fontId="9" fillId="5" borderId="4" xfId="0" applyNumberFormat="1" applyFont="1" applyFill="1" applyBorder="1"/>
    <xf numFmtId="167" fontId="2" fillId="8" borderId="0" xfId="0" applyNumberFormat="1" applyFont="1" applyFill="1" applyBorder="1"/>
    <xf numFmtId="2" fontId="2" fillId="0" borderId="4" xfId="0" applyNumberFormat="1" applyFont="1" applyFill="1" applyBorder="1" applyAlignment="1">
      <alignment horizontal="right" vertical="top" wrapText="1"/>
    </xf>
    <xf numFmtId="2" fontId="2" fillId="5" borderId="4" xfId="0" applyNumberFormat="1" applyFont="1" applyFill="1" applyBorder="1" applyAlignment="1">
      <alignment horizontal="right" vertical="top" wrapText="1"/>
    </xf>
    <xf numFmtId="2" fontId="6" fillId="0" borderId="4" xfId="0" applyNumberFormat="1" applyFont="1" applyBorder="1" applyAlignment="1">
      <alignment vertical="top"/>
    </xf>
    <xf numFmtId="167" fontId="0" fillId="0" borderId="0" xfId="0" applyNumberFormat="1"/>
    <xf numFmtId="167" fontId="13" fillId="0" borderId="0" xfId="0" applyNumberFormat="1" applyFont="1"/>
    <xf numFmtId="0" fontId="0" fillId="0" borderId="0" xfId="0" applyFill="1"/>
    <xf numFmtId="2" fontId="1" fillId="8" borderId="2" xfId="0" applyNumberFormat="1" applyFont="1" applyFill="1" applyBorder="1" applyAlignment="1">
      <alignment horizontal="center" vertical="top" wrapText="1"/>
    </xf>
    <xf numFmtId="2" fontId="2" fillId="8" borderId="6" xfId="0" applyNumberFormat="1" applyFont="1" applyFill="1" applyBorder="1" applyAlignment="1">
      <alignment horizontal="center" vertical="top" wrapText="1"/>
    </xf>
    <xf numFmtId="2" fontId="2" fillId="8" borderId="7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0" fontId="16" fillId="5" borderId="2" xfId="0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3" xfId="0" applyNumberFormat="1" applyFont="1" applyBorder="1" applyAlignment="1">
      <alignment horizontal="left" textRotation="90" wrapText="1"/>
    </xf>
    <xf numFmtId="2" fontId="3" fillId="0" borderId="5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6" fillId="0" borderId="1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center" vertical="top" wrapText="1"/>
    </xf>
    <xf numFmtId="167" fontId="8" fillId="0" borderId="9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7" fontId="2" fillId="4" borderId="2" xfId="0" applyNumberFormat="1" applyFont="1" applyFill="1" applyBorder="1" applyAlignment="1">
      <alignment horizontal="center"/>
    </xf>
    <xf numFmtId="167" fontId="2" fillId="4" borderId="7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0" fillId="4" borderId="7" xfId="0" applyFill="1" applyBorder="1"/>
    <xf numFmtId="0" fontId="2" fillId="7" borderId="4" xfId="0" applyFont="1" applyFill="1" applyBorder="1" applyAlignment="1">
      <alignment horizontal="center" wrapText="1"/>
    </xf>
    <xf numFmtId="167" fontId="2" fillId="3" borderId="2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center"/>
    </xf>
    <xf numFmtId="2" fontId="1" fillId="8" borderId="6" xfId="0" applyNumberFormat="1" applyFont="1" applyFill="1" applyBorder="1" applyAlignment="1">
      <alignment horizontal="center" vertical="top" wrapText="1"/>
    </xf>
    <xf numFmtId="2" fontId="1" fillId="8" borderId="7" xfId="0" applyNumberFormat="1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CC"/>
      <color rgb="FFF6A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CC"/>
  </sheetPr>
  <dimension ref="A3:S47"/>
  <sheetViews>
    <sheetView tabSelected="1" topLeftCell="A11" zoomScaleNormal="100" workbookViewId="0">
      <selection activeCell="I36" sqref="I36"/>
    </sheetView>
  </sheetViews>
  <sheetFormatPr defaultRowHeight="12.75" x14ac:dyDescent="0.2"/>
  <cols>
    <col min="1" max="1" width="5.28515625" customWidth="1"/>
    <col min="2" max="2" width="5.42578125" customWidth="1"/>
    <col min="3" max="3" width="6.42578125" customWidth="1"/>
    <col min="4" max="4" width="10.42578125" customWidth="1"/>
    <col min="5" max="5" width="7.5703125" customWidth="1"/>
    <col min="7" max="7" width="9.85546875" customWidth="1"/>
    <col min="8" max="8" width="9.7109375" customWidth="1"/>
    <col min="9" max="9" width="8.85546875" customWidth="1"/>
    <col min="10" max="10" width="9.28515625" customWidth="1"/>
    <col min="11" max="11" width="10.5703125" customWidth="1"/>
    <col min="12" max="12" width="9.85546875" customWidth="1"/>
    <col min="13" max="13" width="8.85546875" customWidth="1"/>
    <col min="14" max="14" width="10.28515625" customWidth="1"/>
    <col min="15" max="15" width="8.5703125" customWidth="1"/>
    <col min="16" max="16" width="7.5703125" customWidth="1"/>
    <col min="17" max="17" width="11.7109375" bestFit="1" customWidth="1"/>
    <col min="18" max="18" width="9.7109375" customWidth="1"/>
    <col min="19" max="19" width="9.7109375" bestFit="1" customWidth="1"/>
  </cols>
  <sheetData>
    <row r="3" spans="1:19" ht="15.75" x14ac:dyDescent="0.25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9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9" x14ac:dyDescent="0.2">
      <c r="A5" s="60"/>
      <c r="B5" s="58"/>
      <c r="C5" s="58"/>
      <c r="D5" s="58"/>
      <c r="E5" s="98"/>
      <c r="F5" s="89" t="s">
        <v>20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  <c r="R5" s="3"/>
    </row>
    <row r="6" spans="1:19" x14ac:dyDescent="0.2">
      <c r="A6" s="5"/>
      <c r="B6" s="99" t="s">
        <v>21</v>
      </c>
      <c r="C6" s="100"/>
      <c r="D6" s="100"/>
      <c r="E6" s="101"/>
      <c r="F6" s="61" t="s">
        <v>0</v>
      </c>
      <c r="G6" s="62"/>
      <c r="H6" s="62"/>
      <c r="I6" s="62"/>
      <c r="J6" s="62"/>
      <c r="K6" s="62"/>
      <c r="L6" s="62"/>
      <c r="M6" s="62"/>
      <c r="N6" s="62"/>
      <c r="O6" s="63" t="s">
        <v>22</v>
      </c>
      <c r="P6" s="64"/>
      <c r="Q6" s="67" t="s">
        <v>23</v>
      </c>
      <c r="R6" s="70" t="s">
        <v>9</v>
      </c>
    </row>
    <row r="7" spans="1:19" x14ac:dyDescent="0.2">
      <c r="A7" s="6"/>
      <c r="B7" s="73" t="s">
        <v>24</v>
      </c>
      <c r="C7" s="73" t="s">
        <v>1</v>
      </c>
      <c r="D7" s="73" t="s">
        <v>52</v>
      </c>
      <c r="E7" s="80" t="s">
        <v>2</v>
      </c>
      <c r="F7" s="78" t="s">
        <v>25</v>
      </c>
      <c r="G7" s="78" t="s">
        <v>59</v>
      </c>
      <c r="H7" s="78" t="s">
        <v>26</v>
      </c>
      <c r="I7" s="78" t="s">
        <v>27</v>
      </c>
      <c r="J7" s="78" t="s">
        <v>28</v>
      </c>
      <c r="K7" s="78" t="s">
        <v>56</v>
      </c>
      <c r="L7" s="78" t="s">
        <v>60</v>
      </c>
      <c r="M7" s="82" t="s">
        <v>29</v>
      </c>
      <c r="N7" s="84"/>
      <c r="O7" s="65"/>
      <c r="P7" s="66"/>
      <c r="Q7" s="68"/>
      <c r="R7" s="71"/>
    </row>
    <row r="8" spans="1:19" ht="129.75" x14ac:dyDescent="0.2">
      <c r="A8" s="7"/>
      <c r="B8" s="74"/>
      <c r="C8" s="74"/>
      <c r="D8" s="74"/>
      <c r="E8" s="81"/>
      <c r="F8" s="79"/>
      <c r="G8" s="79"/>
      <c r="H8" s="79"/>
      <c r="I8" s="79"/>
      <c r="J8" s="79"/>
      <c r="K8" s="79"/>
      <c r="L8" s="79"/>
      <c r="M8" s="32" t="s">
        <v>53</v>
      </c>
      <c r="N8" s="32" t="s">
        <v>55</v>
      </c>
      <c r="O8" s="51" t="s">
        <v>30</v>
      </c>
      <c r="P8" s="51" t="s">
        <v>31</v>
      </c>
      <c r="Q8" s="69"/>
      <c r="R8" s="72"/>
    </row>
    <row r="9" spans="1:19" ht="25.5" x14ac:dyDescent="0.2">
      <c r="A9" s="52" t="s">
        <v>54</v>
      </c>
      <c r="B9" s="44">
        <v>13.5</v>
      </c>
      <c r="C9" s="44">
        <v>3.3</v>
      </c>
      <c r="D9" s="44">
        <v>1.2</v>
      </c>
      <c r="E9" s="9">
        <f>SUM(B9:D9)</f>
        <v>18</v>
      </c>
      <c r="F9" s="42">
        <v>1</v>
      </c>
      <c r="G9" s="42">
        <v>1.35</v>
      </c>
      <c r="H9" s="42">
        <v>1.8</v>
      </c>
      <c r="I9" s="42">
        <v>0.5</v>
      </c>
      <c r="J9" s="42">
        <v>0.8</v>
      </c>
      <c r="K9" s="42">
        <v>5.4</v>
      </c>
      <c r="L9" s="42">
        <v>2.15</v>
      </c>
      <c r="M9" s="43">
        <v>0</v>
      </c>
      <c r="N9" s="42">
        <v>0.5</v>
      </c>
      <c r="O9" s="24">
        <v>1.8</v>
      </c>
      <c r="P9" s="24">
        <v>1.5</v>
      </c>
      <c r="Q9" s="33">
        <v>1.2</v>
      </c>
      <c r="R9" s="8">
        <f>SUM(F9:Q9)</f>
        <v>18.000000000000004</v>
      </c>
    </row>
    <row r="10" spans="1:19" x14ac:dyDescent="0.2">
      <c r="A10" s="92" t="s">
        <v>32</v>
      </c>
      <c r="B10" s="93"/>
      <c r="C10" s="93"/>
      <c r="D10" s="94"/>
      <c r="E10" s="9">
        <v>7915.2</v>
      </c>
      <c r="F10" s="82" t="s">
        <v>33</v>
      </c>
      <c r="G10" s="83"/>
      <c r="H10" s="83"/>
      <c r="I10" s="83"/>
      <c r="J10" s="83"/>
      <c r="K10" s="83"/>
      <c r="L10" s="83"/>
      <c r="M10" s="83"/>
      <c r="N10" s="84"/>
      <c r="O10" s="85" t="s">
        <v>34</v>
      </c>
      <c r="P10" s="86"/>
      <c r="Q10" s="8" t="s">
        <v>35</v>
      </c>
      <c r="R10" s="8"/>
    </row>
    <row r="11" spans="1:19" x14ac:dyDescent="0.2">
      <c r="A11" s="75" t="s">
        <v>36</v>
      </c>
      <c r="B11" s="76"/>
      <c r="C11" s="76"/>
      <c r="D11" s="76"/>
      <c r="E11" s="77"/>
      <c r="F11" s="10">
        <f>F9*E10</f>
        <v>7915.2</v>
      </c>
      <c r="G11" s="10">
        <f>G9*E10</f>
        <v>10685.52</v>
      </c>
      <c r="H11" s="10">
        <f>H9*E10</f>
        <v>14247.36</v>
      </c>
      <c r="I11" s="10">
        <f>I9*E10</f>
        <v>3957.6</v>
      </c>
      <c r="J11" s="10">
        <f>J9*E10</f>
        <v>6332.16</v>
      </c>
      <c r="K11" s="10">
        <f>K9*E10</f>
        <v>42742.080000000002</v>
      </c>
      <c r="L11" s="10">
        <f>E10*L9</f>
        <v>17017.68</v>
      </c>
      <c r="M11" s="10">
        <f>E10*M9</f>
        <v>0</v>
      </c>
      <c r="N11" s="10">
        <f>N9*E10</f>
        <v>3957.6</v>
      </c>
      <c r="O11" s="10">
        <f>O9*E10</f>
        <v>14247.36</v>
      </c>
      <c r="P11" s="10">
        <f>P9*E10</f>
        <v>11872.8</v>
      </c>
      <c r="Q11" s="10">
        <f>Q9*E10</f>
        <v>9498.24</v>
      </c>
      <c r="R11" s="10">
        <f>F11+G11+H11+I11+J11+K11+L11+M11+N11+O11+P11+Q11</f>
        <v>142473.60000000001</v>
      </c>
    </row>
    <row r="12" spans="1:19" x14ac:dyDescent="0.2">
      <c r="A12" s="95" t="s">
        <v>37</v>
      </c>
      <c r="B12" s="95"/>
      <c r="C12" s="95"/>
      <c r="D12" s="95"/>
      <c r="E12" s="96"/>
      <c r="F12" s="87" t="s">
        <v>38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7"/>
    </row>
    <row r="13" spans="1:19" x14ac:dyDescent="0.2">
      <c r="A13" s="108" t="s">
        <v>39</v>
      </c>
      <c r="B13" s="108"/>
      <c r="C13" s="108"/>
      <c r="D13" s="109"/>
      <c r="E13" s="40">
        <v>-70580.052000000607</v>
      </c>
      <c r="F13" s="48"/>
      <c r="G13" s="49"/>
      <c r="H13" s="11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19" x14ac:dyDescent="0.2">
      <c r="A14" s="34"/>
      <c r="B14" s="103" t="s">
        <v>51</v>
      </c>
      <c r="C14" s="103"/>
      <c r="D14" s="35" t="s">
        <v>37</v>
      </c>
      <c r="E14" s="36" t="s">
        <v>19</v>
      </c>
      <c r="F14" s="48"/>
      <c r="G14" s="49"/>
      <c r="H14" s="11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1:19" x14ac:dyDescent="0.2">
      <c r="A15" s="12" t="s">
        <v>40</v>
      </c>
      <c r="B15" s="90">
        <v>163791.41</v>
      </c>
      <c r="C15" s="102"/>
      <c r="D15" s="37">
        <f>125065.34+400</f>
        <v>125465.34</v>
      </c>
      <c r="E15" s="38"/>
      <c r="F15" s="13">
        <v>7915.2</v>
      </c>
      <c r="G15" s="13">
        <v>9351.34</v>
      </c>
      <c r="H15" s="14">
        <v>14247.36</v>
      </c>
      <c r="I15" s="13">
        <v>4000</v>
      </c>
      <c r="J15" s="13">
        <f t="shared" ref="J15:J26" si="0">5657.19+674.97</f>
        <v>6332.16</v>
      </c>
      <c r="K15" s="13">
        <v>42628</v>
      </c>
      <c r="L15" s="13">
        <v>17017.68</v>
      </c>
      <c r="M15" s="13">
        <f>256.35+18172.75</f>
        <v>18429.099999999999</v>
      </c>
      <c r="N15" s="13">
        <v>2800</v>
      </c>
      <c r="O15" s="39">
        <f>3765+6173</f>
        <v>9938</v>
      </c>
      <c r="P15" s="39">
        <v>0</v>
      </c>
      <c r="Q15" s="13">
        <v>9498.24</v>
      </c>
      <c r="R15" s="15">
        <f t="shared" ref="R15:R26" si="1">SUM(F15:Q15)</f>
        <v>142157.07999999999</v>
      </c>
      <c r="S15" s="4"/>
    </row>
    <row r="16" spans="1:19" x14ac:dyDescent="0.2">
      <c r="A16" s="12" t="s">
        <v>41</v>
      </c>
      <c r="B16" s="90">
        <v>160685.54</v>
      </c>
      <c r="C16" s="91"/>
      <c r="D16" s="37">
        <v>159382.67000000001</v>
      </c>
      <c r="E16" s="38"/>
      <c r="F16" s="13">
        <v>7915.2</v>
      </c>
      <c r="G16" s="13">
        <v>9351.34</v>
      </c>
      <c r="H16" s="14">
        <v>14247.36</v>
      </c>
      <c r="I16" s="13">
        <v>4000</v>
      </c>
      <c r="J16" s="13">
        <f t="shared" si="0"/>
        <v>6332.16</v>
      </c>
      <c r="K16" s="13">
        <v>42628</v>
      </c>
      <c r="L16" s="13">
        <v>17017.68</v>
      </c>
      <c r="M16" s="13">
        <f>256.35+24631.6</f>
        <v>24887.949999999997</v>
      </c>
      <c r="N16" s="13">
        <v>0</v>
      </c>
      <c r="O16" s="39">
        <v>533</v>
      </c>
      <c r="P16" s="39">
        <v>0</v>
      </c>
      <c r="Q16" s="13">
        <v>9498.24</v>
      </c>
      <c r="R16" s="15">
        <f t="shared" si="1"/>
        <v>136410.93</v>
      </c>
      <c r="S16" s="4"/>
    </row>
    <row r="17" spans="1:19" x14ac:dyDescent="0.2">
      <c r="A17" t="s">
        <v>5</v>
      </c>
      <c r="B17" s="90">
        <v>167144.73000000001</v>
      </c>
      <c r="C17" s="91"/>
      <c r="D17" s="37">
        <f>137609.39+350</f>
        <v>137959.39000000001</v>
      </c>
      <c r="E17" s="38"/>
      <c r="F17" s="13">
        <v>7915.2</v>
      </c>
      <c r="G17" s="13">
        <v>9351.34</v>
      </c>
      <c r="H17" s="14">
        <v>14247.36</v>
      </c>
      <c r="I17" s="13">
        <v>4000</v>
      </c>
      <c r="J17" s="13">
        <f t="shared" si="0"/>
        <v>6332.16</v>
      </c>
      <c r="K17" s="13">
        <v>42628</v>
      </c>
      <c r="L17" s="13">
        <v>17017.68</v>
      </c>
      <c r="M17" s="13">
        <f>341.8+19052.45</f>
        <v>19394.25</v>
      </c>
      <c r="N17" s="13">
        <v>0</v>
      </c>
      <c r="O17" s="39">
        <v>0</v>
      </c>
      <c r="P17" s="39">
        <v>0</v>
      </c>
      <c r="Q17" s="13">
        <v>9498.24</v>
      </c>
      <c r="R17" s="15">
        <f t="shared" si="1"/>
        <v>130384.23</v>
      </c>
      <c r="S17" s="4"/>
    </row>
    <row r="18" spans="1:19" x14ac:dyDescent="0.2">
      <c r="A18" s="12" t="s">
        <v>42</v>
      </c>
      <c r="B18" s="90">
        <v>161651.25</v>
      </c>
      <c r="C18" s="91"/>
      <c r="D18" s="37">
        <f>143438.03+400</f>
        <v>143838.03</v>
      </c>
      <c r="E18" s="38"/>
      <c r="F18" s="13">
        <v>7915.2</v>
      </c>
      <c r="G18" s="13">
        <v>9351.34</v>
      </c>
      <c r="H18" s="14">
        <v>14247.36</v>
      </c>
      <c r="I18" s="13">
        <v>4000</v>
      </c>
      <c r="J18" s="13">
        <f t="shared" si="0"/>
        <v>6332.16</v>
      </c>
      <c r="K18" s="13">
        <v>42628</v>
      </c>
      <c r="L18" s="13">
        <v>17017.68</v>
      </c>
      <c r="M18" s="13">
        <f>341.8+14862.3</f>
        <v>15204.099999999999</v>
      </c>
      <c r="N18" s="13">
        <v>0</v>
      </c>
      <c r="O18" s="39">
        <v>0</v>
      </c>
      <c r="P18" s="39">
        <v>0</v>
      </c>
      <c r="Q18" s="13">
        <v>9498.24</v>
      </c>
      <c r="R18" s="15">
        <f t="shared" si="1"/>
        <v>126194.08</v>
      </c>
      <c r="S18" s="4"/>
    </row>
    <row r="19" spans="1:19" x14ac:dyDescent="0.2">
      <c r="A19" s="12" t="s">
        <v>7</v>
      </c>
      <c r="B19" s="90">
        <v>157461.79999999999</v>
      </c>
      <c r="C19" s="91"/>
      <c r="D19" s="37">
        <f>195803.22+400</f>
        <v>196203.22</v>
      </c>
      <c r="E19" s="38"/>
      <c r="F19" s="13">
        <v>7915.2</v>
      </c>
      <c r="G19" s="13">
        <v>9351.34</v>
      </c>
      <c r="H19" s="14">
        <v>14247.36</v>
      </c>
      <c r="I19" s="13">
        <v>4000</v>
      </c>
      <c r="J19" s="13">
        <f t="shared" si="0"/>
        <v>6332.16</v>
      </c>
      <c r="K19" s="13">
        <v>42628</v>
      </c>
      <c r="L19" s="13">
        <v>17017.68</v>
      </c>
      <c r="M19" s="13">
        <f>512.7+21223.92</f>
        <v>21736.62</v>
      </c>
      <c r="N19" s="13">
        <v>6128</v>
      </c>
      <c r="O19" s="39">
        <v>0</v>
      </c>
      <c r="P19" s="39">
        <v>0</v>
      </c>
      <c r="Q19" s="13">
        <v>9498.24</v>
      </c>
      <c r="R19" s="15">
        <f t="shared" si="1"/>
        <v>138854.59999999998</v>
      </c>
      <c r="S19" s="4"/>
    </row>
    <row r="20" spans="1:19" x14ac:dyDescent="0.2">
      <c r="A20" s="12" t="s">
        <v>8</v>
      </c>
      <c r="B20" s="90">
        <v>163941.44</v>
      </c>
      <c r="C20" s="91"/>
      <c r="D20" s="37">
        <v>143449.73000000001</v>
      </c>
      <c r="E20" s="38"/>
      <c r="F20" s="13">
        <v>7915.2</v>
      </c>
      <c r="G20" s="13">
        <f>9351.34+8226</f>
        <v>17577.34</v>
      </c>
      <c r="H20" s="14">
        <v>14247.36</v>
      </c>
      <c r="I20" s="13">
        <v>4000</v>
      </c>
      <c r="J20" s="13">
        <f t="shared" si="0"/>
        <v>6332.16</v>
      </c>
      <c r="K20" s="13">
        <v>42628</v>
      </c>
      <c r="L20" s="13">
        <v>17017.68</v>
      </c>
      <c r="M20" s="13">
        <f>256.35+19080.23</f>
        <v>19336.579999999998</v>
      </c>
      <c r="N20" s="13">
        <v>923</v>
      </c>
      <c r="O20" s="39">
        <v>0</v>
      </c>
      <c r="P20" s="39">
        <v>0</v>
      </c>
      <c r="Q20" s="13">
        <v>9498.24</v>
      </c>
      <c r="R20" s="15">
        <f t="shared" si="1"/>
        <v>139475.56</v>
      </c>
      <c r="S20" s="4"/>
    </row>
    <row r="21" spans="1:19" x14ac:dyDescent="0.2">
      <c r="A21" s="12" t="s">
        <v>10</v>
      </c>
      <c r="B21" s="90">
        <v>161531.85</v>
      </c>
      <c r="C21" s="91"/>
      <c r="D21" s="37">
        <v>155338.89000000001</v>
      </c>
      <c r="E21" s="38"/>
      <c r="F21" s="13">
        <v>7915.2</v>
      </c>
      <c r="G21" s="13">
        <v>9351.34</v>
      </c>
      <c r="H21" s="14">
        <v>14247.36</v>
      </c>
      <c r="I21" s="13">
        <v>4000</v>
      </c>
      <c r="J21" s="13">
        <f t="shared" si="0"/>
        <v>6332.16</v>
      </c>
      <c r="K21" s="13">
        <v>42628</v>
      </c>
      <c r="L21" s="13">
        <v>17017.68</v>
      </c>
      <c r="M21" s="13">
        <f>268.11+15406.2</f>
        <v>15674.310000000001</v>
      </c>
      <c r="N21" s="13">
        <f>1500+6128</f>
        <v>7628</v>
      </c>
      <c r="O21" s="39">
        <v>8517</v>
      </c>
      <c r="P21" s="39">
        <v>0</v>
      </c>
      <c r="Q21" s="13">
        <v>9498.24</v>
      </c>
      <c r="R21" s="15">
        <f t="shared" si="1"/>
        <v>142809.28999999998</v>
      </c>
      <c r="S21" s="4"/>
    </row>
    <row r="22" spans="1:19" x14ac:dyDescent="0.2">
      <c r="A22" s="12" t="s">
        <v>11</v>
      </c>
      <c r="B22" s="90">
        <v>157869.65</v>
      </c>
      <c r="C22" s="91"/>
      <c r="D22" s="37">
        <f>173576.85+1170</f>
        <v>174746.85</v>
      </c>
      <c r="E22" s="38"/>
      <c r="F22" s="13">
        <v>7915.2</v>
      </c>
      <c r="G22" s="13">
        <v>9351.34</v>
      </c>
      <c r="H22" s="14">
        <v>14247.36</v>
      </c>
      <c r="I22" s="13">
        <v>4000</v>
      </c>
      <c r="J22" s="13">
        <f t="shared" si="0"/>
        <v>6332.16</v>
      </c>
      <c r="K22" s="13">
        <v>26998</v>
      </c>
      <c r="L22" s="13">
        <v>17017.68</v>
      </c>
      <c r="M22" s="13">
        <f>536.22+26360.64</f>
        <v>26896.86</v>
      </c>
      <c r="N22" s="13">
        <v>20000</v>
      </c>
      <c r="O22" s="39">
        <f>1254+1770+612+20269</f>
        <v>23905</v>
      </c>
      <c r="P22" s="39">
        <v>0</v>
      </c>
      <c r="Q22" s="13">
        <v>9498.24</v>
      </c>
      <c r="R22" s="15">
        <f t="shared" si="1"/>
        <v>166161.83999999997</v>
      </c>
      <c r="S22" s="4"/>
    </row>
    <row r="23" spans="1:19" x14ac:dyDescent="0.2">
      <c r="A23" s="12" t="s">
        <v>43</v>
      </c>
      <c r="B23" s="90">
        <v>169092.81</v>
      </c>
      <c r="C23" s="91"/>
      <c r="D23" s="37">
        <v>145931.26</v>
      </c>
      <c r="E23" s="38"/>
      <c r="F23" s="13">
        <v>7915.2</v>
      </c>
      <c r="G23" s="13">
        <v>9351.34</v>
      </c>
      <c r="H23" s="14">
        <v>14247.36</v>
      </c>
      <c r="I23" s="13">
        <v>4000</v>
      </c>
      <c r="J23" s="13">
        <f t="shared" si="0"/>
        <v>6332.16</v>
      </c>
      <c r="K23" s="13">
        <v>0</v>
      </c>
      <c r="L23" s="13">
        <v>17017.68</v>
      </c>
      <c r="M23" s="13">
        <f>536.22+17588.34</f>
        <v>18124.560000000001</v>
      </c>
      <c r="N23" s="13">
        <v>0</v>
      </c>
      <c r="O23" s="39">
        <v>1799</v>
      </c>
      <c r="P23" s="39">
        <v>0</v>
      </c>
      <c r="Q23" s="13">
        <v>9498.24</v>
      </c>
      <c r="R23" s="15">
        <f t="shared" si="1"/>
        <v>88285.540000000008</v>
      </c>
      <c r="S23" s="4"/>
    </row>
    <row r="24" spans="1:19" x14ac:dyDescent="0.2">
      <c r="A24" s="12" t="s">
        <v>44</v>
      </c>
      <c r="B24" s="90">
        <v>160320.09</v>
      </c>
      <c r="C24" s="91"/>
      <c r="D24" s="37">
        <v>173030.75</v>
      </c>
      <c r="E24" s="38"/>
      <c r="F24" s="13">
        <v>7915.2</v>
      </c>
      <c r="G24" s="13">
        <v>9351.34</v>
      </c>
      <c r="H24" s="14">
        <v>14247.36</v>
      </c>
      <c r="I24" s="13">
        <v>4000</v>
      </c>
      <c r="J24" s="13">
        <f t="shared" si="0"/>
        <v>6332.16</v>
      </c>
      <c r="K24" s="13">
        <v>0</v>
      </c>
      <c r="L24" s="13">
        <v>17017.68</v>
      </c>
      <c r="M24" s="13">
        <f>625.59+12422.16</f>
        <v>13047.75</v>
      </c>
      <c r="N24" s="13">
        <v>22000</v>
      </c>
      <c r="O24" s="39">
        <v>612</v>
      </c>
      <c r="P24" s="39">
        <v>0</v>
      </c>
      <c r="Q24" s="13">
        <v>9498.24</v>
      </c>
      <c r="R24" s="15">
        <f t="shared" si="1"/>
        <v>104021.73</v>
      </c>
    </row>
    <row r="25" spans="1:19" x14ac:dyDescent="0.2">
      <c r="A25" s="12" t="s">
        <v>45</v>
      </c>
      <c r="B25" s="90">
        <v>155239.81</v>
      </c>
      <c r="C25" s="91"/>
      <c r="D25" s="37">
        <v>164373.97</v>
      </c>
      <c r="E25" s="38"/>
      <c r="F25" s="13">
        <v>7915.2</v>
      </c>
      <c r="G25" s="13">
        <v>9351.34</v>
      </c>
      <c r="H25" s="14">
        <v>14247.36</v>
      </c>
      <c r="I25" s="13">
        <v>4000</v>
      </c>
      <c r="J25" s="13">
        <f t="shared" si="0"/>
        <v>6332.16</v>
      </c>
      <c r="K25" s="13">
        <v>0</v>
      </c>
      <c r="L25" s="13">
        <v>17017.68</v>
      </c>
      <c r="M25" s="13">
        <f>178.74+19415.7</f>
        <v>19594.440000000002</v>
      </c>
      <c r="N25" s="13">
        <v>0</v>
      </c>
      <c r="O25" s="39">
        <f>880+612+60186+1799</f>
        <v>63477</v>
      </c>
      <c r="P25" s="39">
        <v>1397</v>
      </c>
      <c r="Q25" s="13">
        <v>9498.24</v>
      </c>
      <c r="R25" s="15">
        <f t="shared" si="1"/>
        <v>152830.41999999998</v>
      </c>
    </row>
    <row r="26" spans="1:19" x14ac:dyDescent="0.2">
      <c r="A26" s="12" t="s">
        <v>46</v>
      </c>
      <c r="B26" s="90">
        <v>161786.13</v>
      </c>
      <c r="C26" s="91"/>
      <c r="D26" s="37">
        <v>128474.36</v>
      </c>
      <c r="E26" s="38"/>
      <c r="F26" s="13">
        <v>7915.2</v>
      </c>
      <c r="G26" s="13">
        <v>9351.34</v>
      </c>
      <c r="H26" s="14">
        <v>14247.36</v>
      </c>
      <c r="I26" s="13">
        <v>4000</v>
      </c>
      <c r="J26" s="13">
        <f t="shared" si="0"/>
        <v>6332.16</v>
      </c>
      <c r="K26" s="13">
        <v>0</v>
      </c>
      <c r="L26" s="13">
        <v>17017.68</v>
      </c>
      <c r="M26" s="13">
        <f>268.11+21175.02</f>
        <v>21443.13</v>
      </c>
      <c r="N26" s="13">
        <f>5000+3425</f>
        <v>8425</v>
      </c>
      <c r="O26" s="39">
        <f>7254+3120+2985+462+471</f>
        <v>14292</v>
      </c>
      <c r="P26" s="39">
        <v>0</v>
      </c>
      <c r="Q26" s="13">
        <v>9498.24</v>
      </c>
      <c r="R26" s="15">
        <f t="shared" si="1"/>
        <v>112522.11</v>
      </c>
    </row>
    <row r="27" spans="1:19" ht="48" x14ac:dyDescent="0.2">
      <c r="A27" s="16" t="s">
        <v>47</v>
      </c>
      <c r="B27" s="90">
        <v>0</v>
      </c>
      <c r="C27" s="91"/>
      <c r="D27" s="37">
        <f>3600+3600+3600+3600</f>
        <v>14400</v>
      </c>
      <c r="E27" s="20"/>
      <c r="F27" s="13"/>
      <c r="G27" s="13"/>
      <c r="H27" s="13"/>
      <c r="I27" s="13"/>
      <c r="J27" s="13"/>
      <c r="K27" s="13"/>
      <c r="L27" s="13"/>
      <c r="M27" s="13"/>
      <c r="N27" s="13"/>
      <c r="O27" s="39"/>
      <c r="P27" s="39"/>
      <c r="Q27" s="13"/>
      <c r="R27" s="15"/>
    </row>
    <row r="28" spans="1:19" ht="24" x14ac:dyDescent="0.2">
      <c r="A28" s="16" t="s">
        <v>63</v>
      </c>
      <c r="B28" s="90">
        <v>0</v>
      </c>
      <c r="C28" s="91"/>
      <c r="D28" s="37">
        <f>13174.56+4940.46</f>
        <v>18115.02</v>
      </c>
      <c r="E28" s="20"/>
      <c r="F28" s="13"/>
      <c r="G28" s="13"/>
      <c r="H28" s="13"/>
      <c r="I28" s="13"/>
      <c r="J28" s="13"/>
      <c r="K28" s="13"/>
      <c r="L28" s="13"/>
      <c r="M28" s="13"/>
      <c r="N28" s="13"/>
      <c r="O28" s="39"/>
      <c r="P28" s="39"/>
      <c r="Q28" s="13"/>
      <c r="R28" s="15"/>
    </row>
    <row r="29" spans="1:19" x14ac:dyDescent="0.2">
      <c r="A29" s="17" t="s">
        <v>2</v>
      </c>
      <c r="B29" s="104">
        <f>SUM(B15:B28)</f>
        <v>1940516.5100000002</v>
      </c>
      <c r="C29" s="105"/>
      <c r="D29" s="25">
        <f>SUM(D15:D28)</f>
        <v>1880709.4800000002</v>
      </c>
      <c r="E29" s="18"/>
      <c r="F29" s="18">
        <f t="shared" ref="F29:R29" si="2">SUM(F15:F28)</f>
        <v>94982.39999999998</v>
      </c>
      <c r="G29" s="18">
        <f t="shared" si="2"/>
        <v>120442.07999999997</v>
      </c>
      <c r="H29" s="18">
        <f t="shared" si="2"/>
        <v>170968.32000000001</v>
      </c>
      <c r="I29" s="18">
        <f t="shared" si="2"/>
        <v>48000</v>
      </c>
      <c r="J29" s="18">
        <f t="shared" si="2"/>
        <v>75985.920000000013</v>
      </c>
      <c r="K29" s="18">
        <f t="shared" si="2"/>
        <v>325394</v>
      </c>
      <c r="L29" s="18">
        <f t="shared" si="2"/>
        <v>204212.15999999995</v>
      </c>
      <c r="M29" s="25">
        <f t="shared" si="2"/>
        <v>233769.65000000002</v>
      </c>
      <c r="N29" s="18">
        <f t="shared" si="2"/>
        <v>67904</v>
      </c>
      <c r="O29" s="25">
        <f t="shared" si="2"/>
        <v>123073</v>
      </c>
      <c r="P29" s="25">
        <f t="shared" si="2"/>
        <v>1397</v>
      </c>
      <c r="Q29" s="18">
        <f t="shared" si="2"/>
        <v>113978.88000000002</v>
      </c>
      <c r="R29" s="19">
        <f t="shared" si="2"/>
        <v>1580107.41</v>
      </c>
    </row>
    <row r="30" spans="1:19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 t="s">
        <v>48</v>
      </c>
      <c r="Q30" s="88">
        <f>E13+D29-R29</f>
        <v>230022.01799999969</v>
      </c>
      <c r="R30" s="88"/>
    </row>
    <row r="31" spans="1:19" x14ac:dyDescent="0.2">
      <c r="J31" s="4"/>
    </row>
    <row r="32" spans="1:19" x14ac:dyDescent="0.2">
      <c r="B32" t="s">
        <v>3</v>
      </c>
      <c r="C32">
        <v>2800</v>
      </c>
      <c r="D32" t="s">
        <v>50</v>
      </c>
      <c r="J32" s="1"/>
      <c r="K32" s="41" t="s">
        <v>3</v>
      </c>
      <c r="L32" s="41">
        <v>256.35000000000002</v>
      </c>
      <c r="M32" s="41" t="s">
        <v>57</v>
      </c>
      <c r="N32" s="41">
        <v>18172.75</v>
      </c>
      <c r="O32" s="41" t="s">
        <v>58</v>
      </c>
    </row>
    <row r="33" spans="2:17" x14ac:dyDescent="0.2">
      <c r="B33" t="s">
        <v>7</v>
      </c>
      <c r="C33">
        <v>6128</v>
      </c>
      <c r="D33" t="s">
        <v>49</v>
      </c>
      <c r="G33" s="4"/>
      <c r="K33" s="41" t="s">
        <v>4</v>
      </c>
      <c r="L33" s="41">
        <v>256.35000000000002</v>
      </c>
      <c r="M33" s="41" t="s">
        <v>57</v>
      </c>
      <c r="N33" s="41">
        <v>24631.599999999999</v>
      </c>
      <c r="O33" s="41" t="s">
        <v>58</v>
      </c>
    </row>
    <row r="34" spans="2:17" x14ac:dyDescent="0.2">
      <c r="B34" t="s">
        <v>8</v>
      </c>
      <c r="C34">
        <v>923</v>
      </c>
      <c r="D34" t="s">
        <v>64</v>
      </c>
      <c r="K34" s="41" t="s">
        <v>5</v>
      </c>
      <c r="L34" s="41">
        <v>341.8</v>
      </c>
      <c r="M34" s="41" t="s">
        <v>57</v>
      </c>
      <c r="N34" s="41">
        <v>19052.45</v>
      </c>
      <c r="O34" s="41" t="s">
        <v>58</v>
      </c>
      <c r="Q34" s="1"/>
    </row>
    <row r="35" spans="2:17" x14ac:dyDescent="0.2">
      <c r="B35" t="s">
        <v>10</v>
      </c>
      <c r="C35">
        <v>1500</v>
      </c>
      <c r="D35" t="s">
        <v>65</v>
      </c>
      <c r="K35" s="41" t="s">
        <v>6</v>
      </c>
      <c r="L35" s="41">
        <v>341.8</v>
      </c>
      <c r="M35" s="41" t="s">
        <v>57</v>
      </c>
      <c r="N35" s="41">
        <v>14862.3</v>
      </c>
      <c r="O35" s="41" t="s">
        <v>58</v>
      </c>
      <c r="Q35" s="4"/>
    </row>
    <row r="36" spans="2:17" x14ac:dyDescent="0.2">
      <c r="C36">
        <v>6128</v>
      </c>
      <c r="D36" t="s">
        <v>49</v>
      </c>
      <c r="K36" s="41" t="s">
        <v>7</v>
      </c>
      <c r="L36" s="41">
        <v>512.70000000000005</v>
      </c>
      <c r="M36" s="41" t="s">
        <v>57</v>
      </c>
      <c r="N36" s="41">
        <v>21223.919999999998</v>
      </c>
      <c r="O36" s="41" t="s">
        <v>58</v>
      </c>
    </row>
    <row r="37" spans="2:17" x14ac:dyDescent="0.2">
      <c r="B37" t="s">
        <v>11</v>
      </c>
      <c r="C37">
        <v>20000</v>
      </c>
      <c r="D37" t="s">
        <v>66</v>
      </c>
      <c r="K37" s="41" t="s">
        <v>8</v>
      </c>
      <c r="L37" s="41">
        <v>256.35000000000002</v>
      </c>
      <c r="M37" s="41" t="s">
        <v>57</v>
      </c>
      <c r="N37" s="41">
        <v>19080.23</v>
      </c>
      <c r="O37" s="41" t="s">
        <v>58</v>
      </c>
    </row>
    <row r="38" spans="2:17" x14ac:dyDescent="0.2">
      <c r="B38" t="s">
        <v>13</v>
      </c>
      <c r="C38">
        <v>15000</v>
      </c>
      <c r="D38" t="s">
        <v>67</v>
      </c>
      <c r="K38" s="41" t="s">
        <v>10</v>
      </c>
      <c r="L38" s="41">
        <v>268.11</v>
      </c>
      <c r="M38" s="41" t="s">
        <v>57</v>
      </c>
      <c r="N38" s="41">
        <v>15406.2</v>
      </c>
      <c r="O38" s="41" t="s">
        <v>58</v>
      </c>
    </row>
    <row r="39" spans="2:17" x14ac:dyDescent="0.2">
      <c r="C39">
        <v>4000</v>
      </c>
      <c r="D39" t="s">
        <v>68</v>
      </c>
      <c r="G39" s="45"/>
      <c r="K39" s="41" t="s">
        <v>11</v>
      </c>
      <c r="L39" s="41">
        <v>536.22</v>
      </c>
      <c r="M39" s="41" t="s">
        <v>57</v>
      </c>
      <c r="N39" s="41">
        <v>26360.639999999999</v>
      </c>
      <c r="O39" s="41" t="s">
        <v>58</v>
      </c>
    </row>
    <row r="40" spans="2:17" x14ac:dyDescent="0.2">
      <c r="B40" s="47"/>
      <c r="C40">
        <v>3000</v>
      </c>
      <c r="D40" t="s">
        <v>69</v>
      </c>
      <c r="K40" s="41" t="s">
        <v>12</v>
      </c>
      <c r="L40" s="41">
        <v>536.22</v>
      </c>
      <c r="M40" s="41" t="s">
        <v>57</v>
      </c>
      <c r="N40" s="41">
        <v>17588.34</v>
      </c>
      <c r="O40" s="41" t="s">
        <v>58</v>
      </c>
    </row>
    <row r="41" spans="2:17" x14ac:dyDescent="0.2">
      <c r="B41" t="s">
        <v>15</v>
      </c>
      <c r="C41">
        <v>5000</v>
      </c>
      <c r="D41" s="22" t="s">
        <v>70</v>
      </c>
      <c r="K41" s="41" t="s">
        <v>13</v>
      </c>
      <c r="L41" s="41">
        <v>625.59</v>
      </c>
      <c r="M41" s="41" t="s">
        <v>57</v>
      </c>
      <c r="N41" s="41">
        <v>12422.16</v>
      </c>
      <c r="O41" s="41" t="s">
        <v>58</v>
      </c>
    </row>
    <row r="42" spans="2:17" x14ac:dyDescent="0.2">
      <c r="C42">
        <v>2000</v>
      </c>
      <c r="D42" t="s">
        <v>71</v>
      </c>
      <c r="G42" s="46"/>
      <c r="K42" s="41" t="s">
        <v>14</v>
      </c>
      <c r="L42" s="41">
        <v>178.74</v>
      </c>
      <c r="M42" s="41" t="s">
        <v>57</v>
      </c>
      <c r="N42" s="41">
        <v>19415.7</v>
      </c>
      <c r="O42" s="41" t="s">
        <v>58</v>
      </c>
    </row>
    <row r="43" spans="2:17" x14ac:dyDescent="0.2">
      <c r="C43">
        <v>1425</v>
      </c>
      <c r="D43" t="s">
        <v>16</v>
      </c>
      <c r="K43" s="41" t="s">
        <v>15</v>
      </c>
      <c r="L43" s="41">
        <v>268.11</v>
      </c>
      <c r="M43" s="41" t="s">
        <v>57</v>
      </c>
      <c r="N43" s="41">
        <v>21175.02</v>
      </c>
      <c r="O43" s="41" t="s">
        <v>58</v>
      </c>
    </row>
    <row r="44" spans="2:17" x14ac:dyDescent="0.2">
      <c r="C44" s="2"/>
      <c r="L44" s="45"/>
      <c r="N44" s="45"/>
      <c r="Q44" s="45"/>
    </row>
    <row r="46" spans="2:17" x14ac:dyDescent="0.2">
      <c r="K46" s="22"/>
      <c r="N46" s="4"/>
    </row>
    <row r="47" spans="2:17" x14ac:dyDescent="0.2">
      <c r="N47" s="4"/>
    </row>
  </sheetData>
  <mergeCells count="45">
    <mergeCell ref="B21:C21"/>
    <mergeCell ref="B27:C27"/>
    <mergeCell ref="B29:C29"/>
    <mergeCell ref="Q30:R30"/>
    <mergeCell ref="B22:C22"/>
    <mergeCell ref="B23:C23"/>
    <mergeCell ref="B24:C24"/>
    <mergeCell ref="B25:C25"/>
    <mergeCell ref="B26:C26"/>
    <mergeCell ref="B28:C28"/>
    <mergeCell ref="B20:C20"/>
    <mergeCell ref="O10:P10"/>
    <mergeCell ref="A11:E11"/>
    <mergeCell ref="A12:E12"/>
    <mergeCell ref="F12:R12"/>
    <mergeCell ref="A13:D13"/>
    <mergeCell ref="B14:C14"/>
    <mergeCell ref="A10:D10"/>
    <mergeCell ref="F10:N10"/>
    <mergeCell ref="B15:C15"/>
    <mergeCell ref="B16:C16"/>
    <mergeCell ref="B17:C17"/>
    <mergeCell ref="B18:C18"/>
    <mergeCell ref="B19:C19"/>
    <mergeCell ref="I7:I8"/>
    <mergeCell ref="J7:J8"/>
    <mergeCell ref="K7:K8"/>
    <mergeCell ref="L7:L8"/>
    <mergeCell ref="M7:N7"/>
    <mergeCell ref="H7:H8"/>
    <mergeCell ref="A3:R3"/>
    <mergeCell ref="A4:R4"/>
    <mergeCell ref="A5:E5"/>
    <mergeCell ref="F5:Q5"/>
    <mergeCell ref="B6:E6"/>
    <mergeCell ref="F6:N6"/>
    <mergeCell ref="O6:P7"/>
    <mergeCell ref="Q6:Q8"/>
    <mergeCell ref="R6:R8"/>
    <mergeCell ref="B7:B8"/>
    <mergeCell ref="C7:C8"/>
    <mergeCell ref="D7:D8"/>
    <mergeCell ref="E7:E8"/>
    <mergeCell ref="F7:F8"/>
    <mergeCell ref="G7:G8"/>
  </mergeCells>
  <pageMargins left="0.30208333333333331" right="0.11458333333333333" top="0.25" bottom="0.35416666666666669" header="0.3" footer="0.3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3:J18"/>
  <sheetViews>
    <sheetView workbookViewId="0">
      <selection activeCell="H19" sqref="H19"/>
    </sheetView>
  </sheetViews>
  <sheetFormatPr defaultRowHeight="12.75" x14ac:dyDescent="0.2"/>
  <sheetData>
    <row r="3" spans="1:10" x14ac:dyDescent="0.2">
      <c r="A3" s="114" t="s">
        <v>62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x14ac:dyDescent="0.2">
      <c r="A4" s="57"/>
      <c r="B4" s="57"/>
      <c r="C4" s="57"/>
      <c r="D4" s="55" t="s">
        <v>17</v>
      </c>
      <c r="E4" s="55"/>
      <c r="F4" s="55"/>
      <c r="G4" s="56" t="s">
        <v>18</v>
      </c>
      <c r="H4" s="56"/>
      <c r="I4" s="56"/>
    </row>
    <row r="5" spans="1:10" x14ac:dyDescent="0.2">
      <c r="A5" s="53"/>
      <c r="B5" s="53"/>
      <c r="C5" s="53"/>
      <c r="D5" s="26" t="s">
        <v>51</v>
      </c>
      <c r="E5" s="27" t="s">
        <v>37</v>
      </c>
      <c r="F5" s="27" t="s">
        <v>19</v>
      </c>
      <c r="G5" s="28" t="s">
        <v>51</v>
      </c>
      <c r="H5" s="28" t="s">
        <v>37</v>
      </c>
      <c r="I5" s="28" t="s">
        <v>19</v>
      </c>
    </row>
    <row r="6" spans="1:10" x14ac:dyDescent="0.2">
      <c r="A6" s="57" t="s">
        <v>3</v>
      </c>
      <c r="B6" s="57"/>
      <c r="C6" s="57"/>
      <c r="D6" s="26">
        <v>45003.16</v>
      </c>
      <c r="E6" s="27">
        <v>33151.49</v>
      </c>
      <c r="F6" s="27">
        <f t="shared" ref="F6:F17" si="0">D6-E6</f>
        <v>11851.670000000006</v>
      </c>
      <c r="G6" s="28">
        <v>21887.1</v>
      </c>
      <c r="H6" s="28">
        <v>15721.63</v>
      </c>
      <c r="I6" s="28">
        <f t="shared" ref="I6:I17" si="1">G6-H6</f>
        <v>6165.4699999999993</v>
      </c>
    </row>
    <row r="7" spans="1:10" x14ac:dyDescent="0.2">
      <c r="A7" s="89" t="s">
        <v>4</v>
      </c>
      <c r="B7" s="53"/>
      <c r="C7" s="54"/>
      <c r="D7" s="26">
        <v>43174.98</v>
      </c>
      <c r="E7" s="27">
        <v>42523.19</v>
      </c>
      <c r="F7" s="27">
        <f t="shared" si="0"/>
        <v>651.79000000000087</v>
      </c>
      <c r="G7" s="28">
        <v>20997.97</v>
      </c>
      <c r="H7" s="28">
        <v>20047.349999999999</v>
      </c>
      <c r="I7" s="28">
        <f t="shared" si="1"/>
        <v>950.62000000000262</v>
      </c>
    </row>
    <row r="8" spans="1:10" x14ac:dyDescent="0.2">
      <c r="A8" s="110" t="s">
        <v>5</v>
      </c>
      <c r="B8" s="57"/>
      <c r="C8" s="57"/>
      <c r="D8" s="29">
        <v>43847.62</v>
      </c>
      <c r="E8" s="29">
        <v>41915.14</v>
      </c>
      <c r="F8" s="27">
        <f t="shared" si="0"/>
        <v>1932.4800000000032</v>
      </c>
      <c r="G8" s="30">
        <v>21325.09</v>
      </c>
      <c r="H8" s="30">
        <v>20591.91</v>
      </c>
      <c r="I8" s="28">
        <f t="shared" si="1"/>
        <v>733.18000000000029</v>
      </c>
    </row>
    <row r="9" spans="1:10" x14ac:dyDescent="0.2">
      <c r="A9" s="111" t="s">
        <v>6</v>
      </c>
      <c r="B9" s="112"/>
      <c r="C9" s="113"/>
      <c r="D9" s="29">
        <v>46371.43</v>
      </c>
      <c r="E9" s="29">
        <v>34030.69</v>
      </c>
      <c r="F9" s="27">
        <f t="shared" si="0"/>
        <v>12340.739999999998</v>
      </c>
      <c r="G9" s="30">
        <v>22552.54</v>
      </c>
      <c r="H9" s="30">
        <v>16676.46</v>
      </c>
      <c r="I9" s="28">
        <f t="shared" si="1"/>
        <v>5876.0800000000017</v>
      </c>
    </row>
    <row r="10" spans="1:10" x14ac:dyDescent="0.2">
      <c r="A10" s="111" t="s">
        <v>7</v>
      </c>
      <c r="B10" s="112"/>
      <c r="C10" s="113"/>
      <c r="D10" s="29">
        <v>46187.46</v>
      </c>
      <c r="E10" s="29">
        <v>43215.4</v>
      </c>
      <c r="F10" s="27">
        <f t="shared" si="0"/>
        <v>2972.0599999999977</v>
      </c>
      <c r="G10" s="30">
        <v>22463.07</v>
      </c>
      <c r="H10" s="30">
        <v>21060.78</v>
      </c>
      <c r="I10" s="28">
        <f t="shared" si="1"/>
        <v>1402.2900000000009</v>
      </c>
    </row>
    <row r="11" spans="1:10" x14ac:dyDescent="0.2">
      <c r="A11" s="111" t="s">
        <v>8</v>
      </c>
      <c r="B11" s="112"/>
      <c r="C11" s="113"/>
      <c r="D11" s="29">
        <v>47877.67</v>
      </c>
      <c r="E11" s="29">
        <v>42697.49</v>
      </c>
      <c r="F11" s="27">
        <f t="shared" si="0"/>
        <v>5180.18</v>
      </c>
      <c r="G11" s="30">
        <v>23285.09</v>
      </c>
      <c r="H11" s="30">
        <v>20129.400000000001</v>
      </c>
      <c r="I11" s="28">
        <f t="shared" si="1"/>
        <v>3155.6899999999987</v>
      </c>
    </row>
    <row r="12" spans="1:10" x14ac:dyDescent="0.2">
      <c r="A12" s="111" t="s">
        <v>10</v>
      </c>
      <c r="B12" s="112"/>
      <c r="C12" s="113"/>
      <c r="D12" s="29">
        <v>45612.57</v>
      </c>
      <c r="E12" s="29">
        <v>47306.1</v>
      </c>
      <c r="F12" s="27">
        <f t="shared" si="0"/>
        <v>-1693.5299999999988</v>
      </c>
      <c r="G12" s="30">
        <v>22183.47</v>
      </c>
      <c r="H12" s="30">
        <v>23012.560000000001</v>
      </c>
      <c r="I12" s="28">
        <f t="shared" si="1"/>
        <v>-829.09000000000015</v>
      </c>
    </row>
    <row r="13" spans="1:10" x14ac:dyDescent="0.2">
      <c r="A13" s="111" t="s">
        <v>11</v>
      </c>
      <c r="B13" s="112"/>
      <c r="C13" s="113"/>
      <c r="D13" s="29">
        <v>54567.98</v>
      </c>
      <c r="E13" s="29">
        <v>43671.83</v>
      </c>
      <c r="F13" s="27">
        <f t="shared" si="0"/>
        <v>10896.150000000001</v>
      </c>
      <c r="G13" s="30">
        <v>26535.29</v>
      </c>
      <c r="H13" s="30">
        <v>21630.51</v>
      </c>
      <c r="I13" s="28">
        <f t="shared" si="1"/>
        <v>4904.7800000000025</v>
      </c>
    </row>
    <row r="14" spans="1:10" x14ac:dyDescent="0.2">
      <c r="A14" s="111" t="s">
        <v>12</v>
      </c>
      <c r="B14" s="112"/>
      <c r="C14" s="113"/>
      <c r="D14" s="29">
        <v>49817.71</v>
      </c>
      <c r="E14" s="29">
        <v>49730.39</v>
      </c>
      <c r="F14" s="27">
        <f t="shared" si="0"/>
        <v>87.319999999999709</v>
      </c>
      <c r="G14" s="30">
        <v>24225.33</v>
      </c>
      <c r="H14" s="30">
        <v>24288.48</v>
      </c>
      <c r="I14" s="28">
        <f t="shared" si="1"/>
        <v>-63.149999999997817</v>
      </c>
    </row>
    <row r="15" spans="1:10" x14ac:dyDescent="0.2">
      <c r="A15" s="111" t="s">
        <v>13</v>
      </c>
      <c r="B15" s="112"/>
      <c r="C15" s="113"/>
      <c r="D15" s="29">
        <v>47021.66</v>
      </c>
      <c r="E15" s="29">
        <v>48638.51</v>
      </c>
      <c r="F15" s="27">
        <f t="shared" si="0"/>
        <v>-1616.8499999999985</v>
      </c>
      <c r="G15" s="30">
        <v>22865.67</v>
      </c>
      <c r="H15" s="30">
        <v>23598.1</v>
      </c>
      <c r="I15" s="28">
        <f t="shared" si="1"/>
        <v>-732.43000000000029</v>
      </c>
    </row>
    <row r="16" spans="1:10" x14ac:dyDescent="0.2">
      <c r="A16" s="111" t="s">
        <v>14</v>
      </c>
      <c r="B16" s="112"/>
      <c r="C16" s="113"/>
      <c r="D16" s="29">
        <v>44887.05</v>
      </c>
      <c r="E16" s="29">
        <v>46651.78</v>
      </c>
      <c r="F16" s="27">
        <f t="shared" si="0"/>
        <v>-1764.7299999999959</v>
      </c>
      <c r="G16" s="30">
        <v>21827.65</v>
      </c>
      <c r="H16" s="30">
        <v>22054.66</v>
      </c>
      <c r="I16" s="28">
        <f t="shared" si="1"/>
        <v>-227.0099999999984</v>
      </c>
    </row>
    <row r="17" spans="1:9" x14ac:dyDescent="0.2">
      <c r="A17" s="111" t="s">
        <v>15</v>
      </c>
      <c r="B17" s="112"/>
      <c r="C17" s="113"/>
      <c r="D17" s="29">
        <v>42740.42</v>
      </c>
      <c r="E17" s="29">
        <v>38205.730000000003</v>
      </c>
      <c r="F17" s="27">
        <f t="shared" si="0"/>
        <v>4534.6899999999951</v>
      </c>
      <c r="G17" s="30">
        <v>20783.79</v>
      </c>
      <c r="H17" s="30">
        <v>18610.900000000001</v>
      </c>
      <c r="I17" s="28">
        <f t="shared" si="1"/>
        <v>2172.8899999999994</v>
      </c>
    </row>
    <row r="18" spans="1:9" x14ac:dyDescent="0.2">
      <c r="A18" s="110" t="s">
        <v>2</v>
      </c>
      <c r="B18" s="57"/>
      <c r="C18" s="57"/>
      <c r="D18" s="31">
        <f t="shared" ref="D18:I18" si="2">SUM(D6:D17)</f>
        <v>557109.71</v>
      </c>
      <c r="E18" s="31">
        <f t="shared" si="2"/>
        <v>511737.74</v>
      </c>
      <c r="F18" s="31">
        <f t="shared" si="2"/>
        <v>45371.970000000008</v>
      </c>
      <c r="G18" s="31">
        <f t="shared" si="2"/>
        <v>270932.06</v>
      </c>
      <c r="H18" s="31">
        <f t="shared" si="2"/>
        <v>247422.74000000002</v>
      </c>
      <c r="I18" s="31">
        <f t="shared" si="2"/>
        <v>23509.320000000007</v>
      </c>
    </row>
  </sheetData>
  <mergeCells count="18">
    <mergeCell ref="A6:C6"/>
    <mergeCell ref="A3:J3"/>
    <mergeCell ref="A4:C4"/>
    <mergeCell ref="D4:F4"/>
    <mergeCell ref="G4:I4"/>
    <mergeCell ref="A5:C5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вода 2020</vt:lpstr>
      <vt:lpstr>'2020'!Область_печати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2020-10-29T06:22:42Z</cp:lastPrinted>
  <dcterms:created xsi:type="dcterms:W3CDTF">2007-02-04T12:22:59Z</dcterms:created>
  <dcterms:modified xsi:type="dcterms:W3CDTF">2021-03-11T05:35:59Z</dcterms:modified>
</cp:coreProperties>
</file>