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C9A00F2E-072B-46BB-A608-0BAE0CBBB6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17" r:id="rId1"/>
  </sheets>
  <definedNames>
    <definedName name="_xlnm.Print_Area" localSheetId="0">'2022'!$B$33:$Q$46</definedName>
  </definedNames>
  <calcPr calcId="191029"/>
</workbook>
</file>

<file path=xl/calcChain.xml><?xml version="1.0" encoding="utf-8"?>
<calcChain xmlns="http://schemas.openxmlformats.org/spreadsheetml/2006/main">
  <c r="O18" i="17" l="1"/>
  <c r="M26" i="17"/>
  <c r="P31" i="17" l="1"/>
  <c r="I31" i="17"/>
  <c r="B31" i="17"/>
  <c r="R26" i="17"/>
  <c r="D28" i="17"/>
  <c r="M25" i="17" l="1"/>
  <c r="M24" i="17"/>
  <c r="R25" i="17"/>
  <c r="M23" i="17"/>
  <c r="R24" i="17" l="1"/>
  <c r="D27" i="17"/>
  <c r="O11" i="17" l="1"/>
  <c r="J23" i="17" l="1"/>
  <c r="P11" i="17"/>
  <c r="N11" i="17"/>
  <c r="I11" i="17"/>
  <c r="R23" i="17"/>
  <c r="N22" i="17"/>
  <c r="M22" i="17" l="1"/>
  <c r="D22" i="17"/>
  <c r="K22" i="17" l="1"/>
  <c r="R22" i="17" s="1"/>
  <c r="J21" i="17" l="1"/>
  <c r="J31" i="17" s="1"/>
  <c r="R9" i="17" l="1"/>
  <c r="K20" i="17" l="1"/>
  <c r="G19" i="17"/>
  <c r="G31" i="17" s="1"/>
  <c r="M21" i="17" l="1"/>
  <c r="K21" i="17" l="1"/>
  <c r="R21" i="17" s="1"/>
  <c r="M20" i="17" l="1"/>
  <c r="O20" i="17" l="1"/>
  <c r="R20" i="17" l="1"/>
  <c r="D20" i="17"/>
  <c r="D31" i="17" s="1"/>
  <c r="N19" i="17" l="1"/>
  <c r="K19" i="17" l="1"/>
  <c r="K18" i="17"/>
  <c r="K17" i="17"/>
  <c r="K31" i="17" s="1"/>
  <c r="M19" i="17" l="1"/>
  <c r="R19" i="17" l="1"/>
  <c r="M18" i="17" l="1"/>
  <c r="R18" i="17" l="1"/>
  <c r="L16" i="17" l="1"/>
  <c r="H16" i="17"/>
  <c r="F16" i="17"/>
  <c r="R8" i="17"/>
  <c r="Q15" i="17" l="1"/>
  <c r="Q31" i="17" s="1"/>
  <c r="F15" i="17"/>
  <c r="F31" i="17" s="1"/>
  <c r="L15" i="17" l="1"/>
  <c r="L31" i="17" s="1"/>
  <c r="H15" i="17" l="1"/>
  <c r="H31" i="17" s="1"/>
  <c r="M17" i="17" l="1"/>
  <c r="R17" i="17" l="1"/>
  <c r="N16" i="17"/>
  <c r="N31" i="17" s="1"/>
  <c r="M15" i="17" l="1"/>
  <c r="M31" i="17" s="1"/>
  <c r="M16" i="17"/>
  <c r="O16" i="17" l="1"/>
  <c r="O31" i="17" s="1"/>
  <c r="R16" i="17" l="1"/>
  <c r="Q11" i="17" l="1"/>
  <c r="L11" i="17"/>
  <c r="K11" i="17"/>
  <c r="J11" i="17"/>
  <c r="H11" i="17"/>
  <c r="G11" i="17"/>
  <c r="F11" i="17"/>
  <c r="E8" i="17"/>
  <c r="R11" i="17" l="1"/>
  <c r="R15" i="17"/>
  <c r="R31" i="17" s="1"/>
  <c r="Q32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N16" authorId="0" shapeId="0" xr:uid="{00000000-0006-0000-1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549-фонд кап.ремонта, 1010-светильник+лампочки,463-фонд кап.ремонта</t>
        </r>
      </text>
    </comment>
    <comment ref="K17" authorId="0" shapeId="0" xr:uid="{00000000-0006-0000-1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разовая премия 8593,2</t>
        </r>
      </text>
    </comment>
    <comment ref="N18" authorId="0" shapeId="0" xr:uid="{00000000-0006-0000-1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5023-субботник
975-светильники</t>
        </r>
      </text>
    </comment>
    <comment ref="G19" authorId="0" shapeId="0" xr:uid="{00000000-0006-0000-1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19823,34-компенсация при увольнении</t>
        </r>
      </text>
    </comment>
    <comment ref="N19" authorId="0" shapeId="0" xr:uid="{00000000-0006-0000-1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610-пленка на кровлю кв 110
10442-покос</t>
        </r>
      </text>
    </comment>
    <comment ref="K20" authorId="0" shapeId="0" xr:uid="{00000000-0006-0000-1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компенсация при увольнении-4198,78</t>
        </r>
      </text>
    </comment>
    <comment ref="J21" authorId="0" shapeId="0" xr:uid="{00000000-0006-0000-10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4492-разовая премия</t>
        </r>
      </text>
    </comment>
    <comment ref="K22" authorId="0" shapeId="0" xr:uid="{00000000-0006-0000-10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1708,35-компенсация при увольнении</t>
        </r>
      </text>
    </comment>
    <comment ref="N22" authorId="0" shapeId="0" xr:uid="{00000000-0006-0000-10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2727,2-обслуживание газового оборудования
14280-покос</t>
        </r>
      </text>
    </comment>
    <comment ref="N23" authorId="0" shapeId="0" xr:uid="{00000000-0006-0000-1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5880,14-погрузка и вывоз мусора</t>
        </r>
      </text>
    </comment>
  </commentList>
</comments>
</file>

<file path=xl/sharedStrings.xml><?xml version="1.0" encoding="utf-8"?>
<sst xmlns="http://schemas.openxmlformats.org/spreadsheetml/2006/main" count="117" uniqueCount="71">
  <si>
    <t>Содержание</t>
  </si>
  <si>
    <t>итого</t>
  </si>
  <si>
    <t>ремонт</t>
  </si>
  <si>
    <t>февраль</t>
  </si>
  <si>
    <t>ИТОГО</t>
  </si>
  <si>
    <t>март</t>
  </si>
  <si>
    <t>Медведев А.Г.</t>
  </si>
  <si>
    <t>апрель</t>
  </si>
  <si>
    <t>май</t>
  </si>
  <si>
    <t>ростелеком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</si>
  <si>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</si>
  <si>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</si>
  <si>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</si>
  <si>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</si>
  <si>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</si>
  <si>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</si>
  <si>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</si>
  <si>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</si>
  <si>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долг</t>
  </si>
  <si>
    <t>г/в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</si>
  <si>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</si>
  <si>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</si>
  <si>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</si>
  <si>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</si>
  <si>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</si>
  <si>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</si>
  <si>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</si>
  <si>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</si>
  <si>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</si>
  <si>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</si>
  <si>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</si>
  <si>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</si>
  <si>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</si>
  <si>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</si>
  <si>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</si>
  <si>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</si>
  <si>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</si>
  <si>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</si>
  <si>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</si>
  <si>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</si>
  <si>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</si>
  <si>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</si>
  <si>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</si>
  <si>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</si>
  <si>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</si>
  <si>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</si>
  <si>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</si>
  <si>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</si>
  <si>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</si>
  <si>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</si>
  <si>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</si>
  <si>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</si>
  <si>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</si>
  <si>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</si>
  <si>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Вымпелком</t>
  </si>
  <si>
    <t>Бабенко</t>
  </si>
  <si>
    <t>услуги сторонних организаций, разовые работы</t>
  </si>
  <si>
    <t>х/в</t>
  </si>
  <si>
    <t>эл-во</t>
  </si>
  <si>
    <t>погрузка и вывоз мусора</t>
  </si>
  <si>
    <t>Работы по уборке придомовой территории</t>
  </si>
  <si>
    <t>общехозяйственные расходы</t>
  </si>
  <si>
    <t>субботник</t>
  </si>
  <si>
    <t>Информация о доходах и расходах по дому __Калинина 131/1__на 2022год.</t>
  </si>
  <si>
    <t>фонд кап.ремонта</t>
  </si>
  <si>
    <t>светильник+лампочки</t>
  </si>
  <si>
    <t>светильники</t>
  </si>
  <si>
    <t>пленка на кровлю кв 110</t>
  </si>
  <si>
    <t>с 1 сентября</t>
  </si>
  <si>
    <t>обслуживание газового оборудования</t>
  </si>
  <si>
    <t>покос 21.07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</si>
</sst>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i/>
      <sz val="8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sz val="8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4" fontId="0" fillId="0" borderId="0" xfId="0" applyNumberFormat="1"/>
    <xf numFmtId="2" fontId="1" fillId="6" borderId="7" xfId="0" applyNumberFormat="1" applyFont="1" applyFill="1" applyBorder="1"/>
    <xf numFmtId="2" fontId="2" fillId="0" borderId="2" xfId="0" applyNumberFormat="1" applyFont="1" applyBorder="1" applyAlignment="1">
      <alignment horizontal="left" vertical="top" textRotation="90" wrapText="1"/>
    </xf>
    <xf numFmtId="2" fontId="1" fillId="0" borderId="8" xfId="0" applyNumberFormat="1" applyFont="1" applyBorder="1" applyAlignment="1">
      <alignment horizontal="center" vertical="top" wrapText="1"/>
    </xf>
    <xf numFmtId="2" fontId="2" fillId="7" borderId="8" xfId="0" applyNumberFormat="1" applyFont="1" applyFill="1" applyBorder="1" applyAlignment="1">
      <alignment horizontal="center" vertical="top" wrapText="1"/>
    </xf>
    <xf numFmtId="4" fontId="2" fillId="6" borderId="1" xfId="0" applyNumberFormat="1" applyFont="1" applyFill="1" applyBorder="1"/>
    <xf numFmtId="2" fontId="2" fillId="9" borderId="4" xfId="0" applyNumberFormat="1" applyFont="1" applyFill="1" applyBorder="1" applyAlignment="1">
      <alignment horizontal="center" vertical="top" wrapText="1"/>
    </xf>
    <xf numFmtId="2" fontId="2" fillId="9" borderId="9" xfId="0" applyNumberFormat="1" applyFont="1" applyFill="1" applyBorder="1" applyAlignment="1">
      <alignment horizontal="center" vertical="top" wrapText="1"/>
    </xf>
    <xf numFmtId="2" fontId="2" fillId="9" borderId="5" xfId="0" applyNumberFormat="1" applyFont="1" applyFill="1" applyBorder="1" applyAlignment="1">
      <alignment horizontal="center" vertical="top" wrapText="1"/>
    </xf>
    <xf numFmtId="165" fontId="2" fillId="9" borderId="1" xfId="0" applyNumberFormat="1" applyFont="1" applyFill="1" applyBorder="1"/>
    <xf numFmtId="165" fontId="2" fillId="9" borderId="8" xfId="0" applyNumberFormat="1" applyFont="1" applyFill="1" applyBorder="1"/>
    <xf numFmtId="165" fontId="2" fillId="7" borderId="1" xfId="0" applyNumberFormat="1" applyFont="1" applyFill="1" applyBorder="1"/>
    <xf numFmtId="4" fontId="2" fillId="9" borderId="1" xfId="0" applyNumberFormat="1" applyFont="1" applyFill="1" applyBorder="1"/>
    <xf numFmtId="165" fontId="2" fillId="0" borderId="0" xfId="0" applyNumberFormat="1" applyFont="1"/>
    <xf numFmtId="165" fontId="4" fillId="0" borderId="0" xfId="0" applyNumberFormat="1" applyFont="1"/>
    <xf numFmtId="165" fontId="2" fillId="4" borderId="1" xfId="0" applyNumberFormat="1" applyFont="1" applyFill="1" applyBorder="1"/>
    <xf numFmtId="0" fontId="2" fillId="2" borderId="1" xfId="0" applyFont="1" applyFill="1" applyBorder="1"/>
    <xf numFmtId="165" fontId="5" fillId="2" borderId="1" xfId="0" applyNumberFormat="1" applyFont="1" applyFill="1" applyBorder="1"/>
    <xf numFmtId="4" fontId="6" fillId="2" borderId="1" xfId="0" applyNumberFormat="1" applyFont="1" applyFill="1" applyBorder="1"/>
    <xf numFmtId="2" fontId="1" fillId="0" borderId="1" xfId="0" applyNumberFormat="1" applyFont="1" applyBorder="1" applyAlignment="1">
      <alignment vertical="top" wrapText="1"/>
    </xf>
    <xf numFmtId="2" fontId="2" fillId="0" borderId="8" xfId="0" applyNumberFormat="1" applyFont="1" applyBorder="1" applyAlignment="1">
      <alignment vertical="top" textRotation="90" wrapText="1"/>
    </xf>
    <xf numFmtId="0" fontId="2" fillId="11" borderId="5" xfId="0" applyFont="1" applyFill="1" applyBorder="1" applyAlignment="1">
      <alignment horizontal="center" wrapText="1"/>
    </xf>
    <xf numFmtId="4" fontId="2" fillId="4" borderId="1" xfId="0" applyNumberFormat="1" applyFont="1" applyFill="1" applyBorder="1"/>
    <xf numFmtId="4" fontId="2" fillId="6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wrapText="1"/>
    </xf>
    <xf numFmtId="2" fontId="2" fillId="9" borderId="3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wrapText="1"/>
    </xf>
    <xf numFmtId="17" fontId="2" fillId="10" borderId="1" xfId="0" applyNumberFormat="1" applyFont="1" applyFill="1" applyBorder="1" applyAlignment="1">
      <alignment horizontal="left"/>
    </xf>
    <xf numFmtId="165" fontId="2" fillId="11" borderId="1" xfId="0" applyNumberFormat="1" applyFont="1" applyFill="1" applyBorder="1"/>
    <xf numFmtId="0" fontId="2" fillId="0" borderId="0" xfId="0" applyFont="1"/>
    <xf numFmtId="165" fontId="5" fillId="7" borderId="1" xfId="0" applyNumberFormat="1" applyFont="1" applyFill="1" applyBorder="1"/>
    <xf numFmtId="2" fontId="2" fillId="0" borderId="1" xfId="0" applyNumberFormat="1" applyFont="1" applyBorder="1" applyAlignment="1">
      <alignment horizontal="right" vertical="top" wrapText="1"/>
    </xf>
    <xf numFmtId="165" fontId="2" fillId="9" borderId="0" xfId="0" applyNumberFormat="1" applyFont="1" applyFill="1"/>
    <xf numFmtId="165" fontId="2" fillId="9" borderId="0" xfId="0" applyNumberFormat="1" applyFont="1" applyFill="1" applyAlignment="1">
      <alignment horizontal="left"/>
    </xf>
    <xf numFmtId="17" fontId="5" fillId="3" borderId="1" xfId="0" applyNumberFormat="1" applyFont="1" applyFill="1" applyBorder="1" applyAlignment="1">
      <alignment horizontal="left" wrapText="1"/>
    </xf>
    <xf numFmtId="2" fontId="2" fillId="0" borderId="1" xfId="0" applyNumberFormat="1" applyFont="1" applyBorder="1" applyAlignment="1">
      <alignment horizontal="center" vertical="top"/>
    </xf>
    <xf numFmtId="165" fontId="0" fillId="0" borderId="0" xfId="0" applyNumberFormat="1"/>
    <xf numFmtId="2" fontId="1" fillId="0" borderId="1" xfId="0" applyNumberFormat="1" applyFont="1" applyBorder="1" applyAlignment="1">
      <alignment horizontal="center" vertical="top" wrapText="1"/>
    </xf>
    <xf numFmtId="0" fontId="10" fillId="6" borderId="1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2" fontId="2" fillId="2" borderId="4" xfId="0" applyNumberFormat="1" applyFont="1" applyFill="1" applyBorder="1" applyAlignment="1">
      <alignment horizontal="center" vertical="top"/>
    </xf>
    <xf numFmtId="2" fontId="2" fillId="2" borderId="5" xfId="0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 vertical="top" wrapText="1"/>
    </xf>
    <xf numFmtId="2" fontId="1" fillId="2" borderId="3" xfId="0" applyNumberFormat="1" applyFont="1" applyFill="1" applyBorder="1" applyAlignment="1">
      <alignment vertical="top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8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9" borderId="4" xfId="0" applyNumberFormat="1" applyFont="1" applyFill="1" applyBorder="1" applyAlignment="1">
      <alignment horizontal="center" vertical="top" wrapText="1"/>
    </xf>
    <xf numFmtId="2" fontId="2" fillId="9" borderId="5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8" xfId="0" applyNumberFormat="1" applyFont="1" applyBorder="1" applyAlignment="1">
      <alignment horizontal="left" vertical="top" textRotation="90" wrapText="1"/>
    </xf>
    <xf numFmtId="0" fontId="3" fillId="0" borderId="0" xfId="0" applyFont="1" applyAlignment="1">
      <alignment horizontal="center"/>
    </xf>
    <xf numFmtId="2" fontId="1" fillId="0" borderId="12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2" fontId="1" fillId="0" borderId="13" xfId="0" applyNumberFormat="1" applyFont="1" applyBorder="1" applyAlignment="1">
      <alignment horizontal="left" wrapText="1"/>
    </xf>
    <xf numFmtId="2" fontId="1" fillId="0" borderId="11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textRotation="90" wrapText="1"/>
    </xf>
    <xf numFmtId="2" fontId="1" fillId="0" borderId="6" xfId="0" applyNumberFormat="1" applyFont="1" applyBorder="1" applyAlignment="1">
      <alignment horizontal="left" textRotation="90" wrapText="1"/>
    </xf>
    <xf numFmtId="2" fontId="1" fillId="0" borderId="8" xfId="0" applyNumberFormat="1" applyFont="1" applyBorder="1" applyAlignment="1">
      <alignment horizontal="left" textRotation="90" wrapText="1"/>
    </xf>
    <xf numFmtId="2" fontId="4" fillId="0" borderId="2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165" fontId="2" fillId="5" borderId="3" xfId="0" applyNumberFormat="1" applyFont="1" applyFill="1" applyBorder="1" applyAlignment="1">
      <alignment horizontal="center"/>
    </xf>
    <xf numFmtId="165" fontId="2" fillId="5" borderId="5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2" fontId="2" fillId="9" borderId="3" xfId="0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wrapText="1"/>
    </xf>
    <xf numFmtId="0" fontId="7" fillId="5" borderId="5" xfId="0" applyFont="1" applyFill="1" applyBorder="1"/>
    <xf numFmtId="0" fontId="2" fillId="7" borderId="3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165" fontId="4" fillId="0" borderId="14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  <color rgb="FFFF99FF"/>
      <color rgb="FFCC99FF"/>
      <color rgb="FFCC66FF"/>
      <color rgb="FFCC00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59999389629810485"/>
  </sheetPr>
  <dimension ref="A2:U46"/>
  <sheetViews>
    <sheetView tabSelected="1" topLeftCell="A8" zoomScaleNormal="100" workbookViewId="0">
      <selection activeCell="R41" sqref="R41"/>
    </sheetView>
  </sheetViews>
  <sheetFormatPr defaultRowHeight="14.4" x14ac:dyDescent="0.3"/>
  <cols>
    <col min="4" max="4" width="9.6640625" customWidth="1"/>
    <col min="16" max="16" width="10" customWidth="1"/>
    <col min="18" max="18" width="12.109375" customWidth="1"/>
    <col min="19" max="19" width="11.109375" customWidth="1"/>
    <col min="21" max="21" width="9.109375" customWidth="1"/>
  </cols>
  <sheetData>
    <row r="2" spans="1:19" ht="15.6" x14ac:dyDescent="0.3">
      <c r="A2" s="64" t="s">
        <v>63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9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9" x14ac:dyDescent="0.3">
      <c r="A4" s="76"/>
      <c r="B4" s="77"/>
      <c r="C4" s="77"/>
      <c r="D4" s="77"/>
      <c r="E4" s="78"/>
      <c r="F4" s="79" t="s">
        <v>20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1"/>
      <c r="R4" s="25"/>
    </row>
    <row r="5" spans="1:19" x14ac:dyDescent="0.3">
      <c r="A5" s="26"/>
      <c r="B5" s="50" t="s">
        <v>21</v>
      </c>
      <c r="C5" s="51"/>
      <c r="D5" s="51"/>
      <c r="E5" s="52"/>
      <c r="F5" s="82" t="s">
        <v>0</v>
      </c>
      <c r="G5" s="83"/>
      <c r="H5" s="83"/>
      <c r="I5" s="83"/>
      <c r="J5" s="83"/>
      <c r="K5" s="83"/>
      <c r="L5" s="83"/>
      <c r="M5" s="83"/>
      <c r="N5" s="83"/>
      <c r="O5" s="65" t="s">
        <v>22</v>
      </c>
      <c r="P5" s="66"/>
      <c r="Q5" s="69" t="s">
        <v>23</v>
      </c>
      <c r="R5" s="72" t="s">
        <v>4</v>
      </c>
    </row>
    <row r="6" spans="1:19" x14ac:dyDescent="0.3">
      <c r="A6" s="27"/>
      <c r="B6" s="53" t="s">
        <v>24</v>
      </c>
      <c r="C6" s="53" t="s">
        <v>2</v>
      </c>
      <c r="D6" s="53" t="s">
        <v>51</v>
      </c>
      <c r="E6" s="84" t="s">
        <v>1</v>
      </c>
      <c r="F6" s="62" t="s">
        <v>25</v>
      </c>
      <c r="G6" s="62" t="s">
        <v>60</v>
      </c>
      <c r="H6" s="62" t="s">
        <v>26</v>
      </c>
      <c r="I6" s="62" t="s">
        <v>27</v>
      </c>
      <c r="J6" s="62" t="s">
        <v>28</v>
      </c>
      <c r="K6" s="62" t="s">
        <v>29</v>
      </c>
      <c r="L6" s="62" t="s">
        <v>61</v>
      </c>
      <c r="M6" s="57" t="s">
        <v>30</v>
      </c>
      <c r="N6" s="59"/>
      <c r="O6" s="67"/>
      <c r="P6" s="68"/>
      <c r="Q6" s="70"/>
      <c r="R6" s="73"/>
    </row>
    <row r="7" spans="1:19" ht="121.8" x14ac:dyDescent="0.3">
      <c r="A7" s="2"/>
      <c r="B7" s="54"/>
      <c r="C7" s="54"/>
      <c r="D7" s="54"/>
      <c r="E7" s="85"/>
      <c r="F7" s="63"/>
      <c r="G7" s="63"/>
      <c r="H7" s="63"/>
      <c r="I7" s="63"/>
      <c r="J7" s="63"/>
      <c r="K7" s="63"/>
      <c r="L7" s="63"/>
      <c r="M7" s="21" t="s">
        <v>52</v>
      </c>
      <c r="N7" s="21" t="s">
        <v>56</v>
      </c>
      <c r="O7" s="3" t="s">
        <v>31</v>
      </c>
      <c r="P7" s="3" t="s">
        <v>32</v>
      </c>
      <c r="Q7" s="71"/>
      <c r="R7" s="74"/>
    </row>
    <row r="8" spans="1:19" x14ac:dyDescent="0.3">
      <c r="A8" s="41" t="s">
        <v>53</v>
      </c>
      <c r="B8" s="38">
        <v>10.4</v>
      </c>
      <c r="C8" s="38">
        <v>5</v>
      </c>
      <c r="D8" s="38">
        <v>1.6</v>
      </c>
      <c r="E8" s="24">
        <f>SUM(B8:D8)</f>
        <v>17</v>
      </c>
      <c r="F8" s="34">
        <v>1.5</v>
      </c>
      <c r="G8" s="34">
        <v>1.67</v>
      </c>
      <c r="H8" s="34">
        <v>1.7</v>
      </c>
      <c r="I8" s="34">
        <v>0.28000000000000003</v>
      </c>
      <c r="J8" s="34">
        <v>2.13</v>
      </c>
      <c r="K8" s="34">
        <v>1.63</v>
      </c>
      <c r="L8" s="34">
        <v>3.6</v>
      </c>
      <c r="M8" s="34">
        <v>0</v>
      </c>
      <c r="N8" s="34">
        <v>0.5</v>
      </c>
      <c r="O8" s="20">
        <v>1.1000000000000001</v>
      </c>
      <c r="P8" s="20">
        <v>1.0900000000000001</v>
      </c>
      <c r="Q8" s="4">
        <v>1.8</v>
      </c>
      <c r="R8" s="40">
        <f>SUM(F8:Q8)</f>
        <v>17</v>
      </c>
    </row>
    <row r="9" spans="1:19" x14ac:dyDescent="0.3">
      <c r="A9" s="42" t="s">
        <v>68</v>
      </c>
      <c r="B9" s="43"/>
      <c r="C9" s="43"/>
      <c r="D9" s="44"/>
      <c r="E9" s="45">
        <v>20</v>
      </c>
      <c r="F9" s="46">
        <v>1.5</v>
      </c>
      <c r="G9" s="46">
        <v>1.67</v>
      </c>
      <c r="H9" s="46">
        <v>1.7</v>
      </c>
      <c r="I9" s="46">
        <v>0.31</v>
      </c>
      <c r="J9" s="46">
        <v>3.35</v>
      </c>
      <c r="K9" s="46">
        <v>1.63</v>
      </c>
      <c r="L9" s="46">
        <v>3.6</v>
      </c>
      <c r="M9" s="46">
        <v>0</v>
      </c>
      <c r="N9" s="46">
        <v>0.44</v>
      </c>
      <c r="O9" s="47">
        <v>2</v>
      </c>
      <c r="P9" s="48">
        <v>2</v>
      </c>
      <c r="Q9" s="49">
        <v>1.8</v>
      </c>
      <c r="R9" s="49">
        <f>SUM(F9:Q9)</f>
        <v>20</v>
      </c>
    </row>
    <row r="10" spans="1:19" ht="20.399999999999999" x14ac:dyDescent="0.3">
      <c r="A10" s="88" t="s">
        <v>33</v>
      </c>
      <c r="B10" s="89"/>
      <c r="C10" s="89"/>
      <c r="D10" s="90"/>
      <c r="E10" s="24">
        <v>6598.1</v>
      </c>
      <c r="F10" s="57" t="s">
        <v>34</v>
      </c>
      <c r="G10" s="58"/>
      <c r="H10" s="58"/>
      <c r="I10" s="58"/>
      <c r="J10" s="58"/>
      <c r="K10" s="58"/>
      <c r="L10" s="58"/>
      <c r="M10" s="58"/>
      <c r="N10" s="59"/>
      <c r="O10" s="60" t="s">
        <v>35</v>
      </c>
      <c r="P10" s="61"/>
      <c r="Q10" s="4" t="s">
        <v>36</v>
      </c>
      <c r="R10" s="4"/>
    </row>
    <row r="11" spans="1:19" x14ac:dyDescent="0.3">
      <c r="A11" s="96" t="s">
        <v>37</v>
      </c>
      <c r="B11" s="97"/>
      <c r="C11" s="97"/>
      <c r="D11" s="97"/>
      <c r="E11" s="98"/>
      <c r="F11" s="5">
        <f>E10*F8</f>
        <v>9897.1500000000015</v>
      </c>
      <c r="G11" s="5">
        <f>G8*E10</f>
        <v>11018.826999999999</v>
      </c>
      <c r="H11" s="5">
        <f>H8*E10</f>
        <v>11216.77</v>
      </c>
      <c r="I11" s="5">
        <f>I9*E10</f>
        <v>2045.4110000000001</v>
      </c>
      <c r="J11" s="5">
        <f>J8*E10</f>
        <v>14053.953</v>
      </c>
      <c r="K11" s="5">
        <f>E10*K8</f>
        <v>10754.903</v>
      </c>
      <c r="L11" s="5">
        <f>L8*E10</f>
        <v>23753.160000000003</v>
      </c>
      <c r="M11" s="5">
        <v>0</v>
      </c>
      <c r="N11" s="5">
        <f>N9*E10</f>
        <v>2903.1640000000002</v>
      </c>
      <c r="O11" s="5">
        <f>O9*E10</f>
        <v>13196.2</v>
      </c>
      <c r="P11" s="5">
        <f>P9*E10</f>
        <v>13196.2</v>
      </c>
      <c r="Q11" s="5">
        <f>E10*Q8</f>
        <v>11876.580000000002</v>
      </c>
      <c r="R11" s="5">
        <f>F11+G11+H11+I11+J11+K11+L11+M11+N11+O11+P11+Q11</f>
        <v>123912.318</v>
      </c>
    </row>
    <row r="12" spans="1:19" x14ac:dyDescent="0.3">
      <c r="A12" s="91" t="s">
        <v>38</v>
      </c>
      <c r="B12" s="91"/>
      <c r="C12" s="91"/>
      <c r="D12" s="91"/>
      <c r="E12" s="92"/>
      <c r="F12" s="93" t="s">
        <v>39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6"/>
    </row>
    <row r="13" spans="1:19" x14ac:dyDescent="0.3">
      <c r="A13" s="103" t="s">
        <v>40</v>
      </c>
      <c r="B13" s="103"/>
      <c r="C13" s="103"/>
      <c r="D13" s="104"/>
      <c r="E13" s="6">
        <v>-46558.344000000507</v>
      </c>
      <c r="F13" s="28"/>
      <c r="G13" s="7"/>
      <c r="H13" s="8"/>
      <c r="I13" s="7"/>
      <c r="J13" s="7"/>
      <c r="K13" s="7"/>
      <c r="L13" s="7"/>
      <c r="M13" s="7"/>
      <c r="N13" s="7"/>
      <c r="O13" s="7"/>
      <c r="P13" s="7"/>
      <c r="Q13" s="7"/>
      <c r="R13" s="9"/>
    </row>
    <row r="14" spans="1:19" x14ac:dyDescent="0.3">
      <c r="A14" s="29"/>
      <c r="B14" s="94" t="s">
        <v>50</v>
      </c>
      <c r="C14" s="94"/>
      <c r="D14" s="22" t="s">
        <v>38</v>
      </c>
      <c r="E14" s="23" t="s">
        <v>18</v>
      </c>
      <c r="F14" s="28"/>
      <c r="G14" s="7"/>
      <c r="H14" s="8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9" x14ac:dyDescent="0.3">
      <c r="A15" s="30" t="s">
        <v>41</v>
      </c>
      <c r="B15" s="86">
        <v>124692.86</v>
      </c>
      <c r="C15" s="95"/>
      <c r="D15" s="31">
        <v>94250.3</v>
      </c>
      <c r="E15" s="16"/>
      <c r="F15" s="10">
        <f>F8*E10</f>
        <v>9897.1500000000015</v>
      </c>
      <c r="G15" s="10">
        <v>11115.056</v>
      </c>
      <c r="H15" s="11">
        <f>H8*E10</f>
        <v>11216.77</v>
      </c>
      <c r="I15" s="10">
        <v>3800</v>
      </c>
      <c r="J15" s="10">
        <v>14053.953</v>
      </c>
      <c r="K15" s="10">
        <v>10779.977999999999</v>
      </c>
      <c r="L15" s="10">
        <f>L8*E10</f>
        <v>23753.160000000003</v>
      </c>
      <c r="M15" s="10">
        <f>10118.47+25.3+10.45</f>
        <v>10154.219999999999</v>
      </c>
      <c r="N15" s="10">
        <v>0</v>
      </c>
      <c r="O15" s="12">
        <v>2004</v>
      </c>
      <c r="P15" s="12">
        <v>0</v>
      </c>
      <c r="Q15" s="10">
        <f>Q8*E10</f>
        <v>11876.580000000002</v>
      </c>
      <c r="R15" s="13">
        <f t="shared" ref="R15:R26" si="0">SUM(F15:Q15)</f>
        <v>108650.86700000001</v>
      </c>
      <c r="S15" s="1"/>
    </row>
    <row r="16" spans="1:19" x14ac:dyDescent="0.3">
      <c r="A16" s="30" t="s">
        <v>42</v>
      </c>
      <c r="B16" s="86">
        <v>122321.47</v>
      </c>
      <c r="C16" s="87"/>
      <c r="D16" s="31">
        <v>106985.36</v>
      </c>
      <c r="E16" s="16"/>
      <c r="F16" s="10">
        <f>F8*E10</f>
        <v>9897.1500000000015</v>
      </c>
      <c r="G16" s="10">
        <v>11115.056</v>
      </c>
      <c r="H16" s="11">
        <f>H8*E10</f>
        <v>11216.77</v>
      </c>
      <c r="I16" s="10">
        <v>3800</v>
      </c>
      <c r="J16" s="10">
        <v>14053.953</v>
      </c>
      <c r="K16" s="10">
        <v>10779.977999999999</v>
      </c>
      <c r="L16" s="10">
        <f>L8*E10</f>
        <v>23753.160000000003</v>
      </c>
      <c r="M16" s="10">
        <f>7612.06+2418.68</f>
        <v>10030.74</v>
      </c>
      <c r="N16" s="10">
        <f>2022</f>
        <v>2022</v>
      </c>
      <c r="O16" s="12">
        <f>906+1663</f>
        <v>2569</v>
      </c>
      <c r="P16" s="12">
        <v>0</v>
      </c>
      <c r="Q16" s="10">
        <v>11876.580000000002</v>
      </c>
      <c r="R16" s="13">
        <f t="shared" si="0"/>
        <v>111114.38700000002</v>
      </c>
      <c r="S16" s="1"/>
    </row>
    <row r="17" spans="1:19" x14ac:dyDescent="0.3">
      <c r="A17" s="30" t="s">
        <v>5</v>
      </c>
      <c r="B17" s="86">
        <v>122198.15</v>
      </c>
      <c r="C17" s="87"/>
      <c r="D17" s="31">
        <v>109414.33</v>
      </c>
      <c r="E17" s="16"/>
      <c r="F17" s="10">
        <v>9897.1500000000015</v>
      </c>
      <c r="G17" s="10">
        <v>11115.056</v>
      </c>
      <c r="H17" s="11">
        <v>11216.77</v>
      </c>
      <c r="I17" s="10">
        <v>3800</v>
      </c>
      <c r="J17" s="10">
        <v>14053.953</v>
      </c>
      <c r="K17" s="10">
        <f>10779.978+8593.2</f>
        <v>19373.178</v>
      </c>
      <c r="L17" s="10">
        <v>23753.160000000003</v>
      </c>
      <c r="M17" s="10">
        <f>8076.21+4478.1+3996.68</f>
        <v>16550.990000000002</v>
      </c>
      <c r="N17" s="10">
        <v>0</v>
      </c>
      <c r="O17" s="12">
        <v>0</v>
      </c>
      <c r="P17" s="12">
        <v>12259</v>
      </c>
      <c r="Q17" s="10">
        <v>11876.580000000002</v>
      </c>
      <c r="R17" s="13">
        <f t="shared" si="0"/>
        <v>133895.837</v>
      </c>
      <c r="S17" s="1"/>
    </row>
    <row r="18" spans="1:19" x14ac:dyDescent="0.3">
      <c r="A18" s="30" t="s">
        <v>43</v>
      </c>
      <c r="B18" s="86">
        <v>128719.06</v>
      </c>
      <c r="C18" s="87"/>
      <c r="D18" s="31">
        <v>99144.86</v>
      </c>
      <c r="E18" s="16"/>
      <c r="F18" s="10">
        <v>9897.1500000000015</v>
      </c>
      <c r="G18" s="10">
        <v>11115.056</v>
      </c>
      <c r="H18" s="11">
        <v>11216.77</v>
      </c>
      <c r="I18" s="10">
        <v>3800</v>
      </c>
      <c r="J18" s="10">
        <v>14053.953</v>
      </c>
      <c r="K18" s="10">
        <f>10779.978</f>
        <v>10779.977999999999</v>
      </c>
      <c r="L18" s="10">
        <v>23753.160000000003</v>
      </c>
      <c r="M18" s="10">
        <f>7704.89+3481.28</f>
        <v>11186.17</v>
      </c>
      <c r="N18" s="10">
        <v>5998</v>
      </c>
      <c r="O18" s="12">
        <f>576+576</f>
        <v>1152</v>
      </c>
      <c r="P18" s="12">
        <v>71262</v>
      </c>
      <c r="Q18" s="10">
        <v>11876.580000000002</v>
      </c>
      <c r="R18" s="13">
        <f t="shared" si="0"/>
        <v>186090.81700000004</v>
      </c>
      <c r="S18" s="1"/>
    </row>
    <row r="19" spans="1:19" x14ac:dyDescent="0.3">
      <c r="A19" s="30" t="s">
        <v>8</v>
      </c>
      <c r="B19" s="86">
        <v>123353.49</v>
      </c>
      <c r="C19" s="87"/>
      <c r="D19" s="31">
        <v>120966.58</v>
      </c>
      <c r="E19" s="16"/>
      <c r="F19" s="10">
        <v>9897.1500000000015</v>
      </c>
      <c r="G19" s="10">
        <f>11115.056+10902.84</f>
        <v>22017.896000000001</v>
      </c>
      <c r="H19" s="11">
        <v>11216.77</v>
      </c>
      <c r="I19" s="10">
        <v>0</v>
      </c>
      <c r="J19" s="10">
        <v>14053.953</v>
      </c>
      <c r="K19" s="10">
        <f>10779.978</f>
        <v>10779.977999999999</v>
      </c>
      <c r="L19" s="10">
        <v>23753.160000000003</v>
      </c>
      <c r="M19" s="10">
        <f>8076.21+1983.52</f>
        <v>10059.73</v>
      </c>
      <c r="N19" s="10">
        <f>610+10442</f>
        <v>11052</v>
      </c>
      <c r="O19" s="33">
        <v>8272</v>
      </c>
      <c r="P19" s="12">
        <v>59376</v>
      </c>
      <c r="Q19" s="10">
        <v>11876.580000000002</v>
      </c>
      <c r="R19" s="13">
        <f t="shared" si="0"/>
        <v>192355.217</v>
      </c>
      <c r="S19" s="1"/>
    </row>
    <row r="20" spans="1:19" x14ac:dyDescent="0.3">
      <c r="A20" s="30" t="s">
        <v>10</v>
      </c>
      <c r="B20" s="86">
        <v>122227.87</v>
      </c>
      <c r="C20" s="87"/>
      <c r="D20" s="31">
        <f>122558.82+400</f>
        <v>122958.82</v>
      </c>
      <c r="E20" s="16"/>
      <c r="F20" s="10">
        <v>9897.1500000000015</v>
      </c>
      <c r="G20" s="10">
        <v>11115.056</v>
      </c>
      <c r="H20" s="11">
        <v>11216.77</v>
      </c>
      <c r="I20" s="10">
        <v>0</v>
      </c>
      <c r="J20" s="10">
        <v>14053.953</v>
      </c>
      <c r="K20" s="10">
        <f>10779.978+4198.78</f>
        <v>14978.757999999998</v>
      </c>
      <c r="L20" s="10">
        <v>23753.16</v>
      </c>
      <c r="M20" s="10">
        <f>6683.76+1715.34</f>
        <v>8399.1</v>
      </c>
      <c r="N20" s="10">
        <v>0</v>
      </c>
      <c r="O20" s="12">
        <f>30285+10649</f>
        <v>40934</v>
      </c>
      <c r="P20" s="12">
        <v>778</v>
      </c>
      <c r="Q20" s="10">
        <v>11876.580000000002</v>
      </c>
      <c r="R20" s="13">
        <f t="shared" si="0"/>
        <v>147002.527</v>
      </c>
      <c r="S20" s="1"/>
    </row>
    <row r="21" spans="1:19" x14ac:dyDescent="0.3">
      <c r="A21" s="30" t="s">
        <v>11</v>
      </c>
      <c r="B21" s="86">
        <v>120567.12</v>
      </c>
      <c r="C21" s="87"/>
      <c r="D21" s="31">
        <v>130271.43</v>
      </c>
      <c r="E21" s="16"/>
      <c r="F21" s="10">
        <v>9897.1500000000015</v>
      </c>
      <c r="G21" s="10">
        <v>11115.056</v>
      </c>
      <c r="H21" s="11">
        <v>11216.77</v>
      </c>
      <c r="I21" s="10">
        <v>0</v>
      </c>
      <c r="J21" s="10">
        <f>14053.953+4492</f>
        <v>18545.953000000001</v>
      </c>
      <c r="K21" s="10">
        <f>10779.978</f>
        <v>10779.977999999999</v>
      </c>
      <c r="L21" s="10">
        <v>23753.160000000003</v>
      </c>
      <c r="M21" s="10">
        <f>15696.44+7344.75</f>
        <v>23041.190000000002</v>
      </c>
      <c r="N21" s="10">
        <v>0</v>
      </c>
      <c r="O21" s="12">
        <v>0</v>
      </c>
      <c r="P21" s="12">
        <v>0</v>
      </c>
      <c r="Q21" s="10">
        <v>11876.580000000002</v>
      </c>
      <c r="R21" s="13">
        <f t="shared" si="0"/>
        <v>120225.83700000001</v>
      </c>
      <c r="S21" s="1"/>
    </row>
    <row r="22" spans="1:19" x14ac:dyDescent="0.3">
      <c r="A22" s="30" t="s">
        <v>12</v>
      </c>
      <c r="B22" s="86">
        <v>135208.91</v>
      </c>
      <c r="C22" s="87"/>
      <c r="D22" s="31">
        <f>129237.44+400</f>
        <v>129637.44</v>
      </c>
      <c r="E22" s="16"/>
      <c r="F22" s="10">
        <v>9897.1500000000015</v>
      </c>
      <c r="G22" s="10">
        <v>11115.056</v>
      </c>
      <c r="H22" s="11">
        <v>11216.77</v>
      </c>
      <c r="I22" s="10">
        <v>0</v>
      </c>
      <c r="J22" s="10">
        <v>14053.953</v>
      </c>
      <c r="K22" s="10">
        <f>10779.978+1708.35</f>
        <v>12488.328</v>
      </c>
      <c r="L22" s="10">
        <v>23753.160000000003</v>
      </c>
      <c r="M22" s="10">
        <f>1148.52+4242</f>
        <v>5390.52</v>
      </c>
      <c r="N22" s="10">
        <f>2727.2+14280</f>
        <v>17007.2</v>
      </c>
      <c r="O22" s="12">
        <v>0</v>
      </c>
      <c r="P22" s="12">
        <v>0</v>
      </c>
      <c r="Q22" s="10">
        <v>11876.580000000002</v>
      </c>
      <c r="R22" s="13">
        <f t="shared" si="0"/>
        <v>116798.71700000002</v>
      </c>
      <c r="S22" s="1"/>
    </row>
    <row r="23" spans="1:19" x14ac:dyDescent="0.3">
      <c r="A23" s="30" t="s">
        <v>44</v>
      </c>
      <c r="B23" s="86">
        <v>137352.65</v>
      </c>
      <c r="C23" s="87"/>
      <c r="D23" s="31">
        <v>113750.39</v>
      </c>
      <c r="E23" s="16"/>
      <c r="F23" s="10">
        <v>9897.1500000000015</v>
      </c>
      <c r="G23" s="10">
        <v>11115.056</v>
      </c>
      <c r="H23" s="11">
        <v>11216.77</v>
      </c>
      <c r="I23" s="10">
        <v>0</v>
      </c>
      <c r="J23" s="10">
        <f>J9*E10</f>
        <v>22103.635000000002</v>
      </c>
      <c r="K23" s="10">
        <v>10779.977999999999</v>
      </c>
      <c r="L23" s="10">
        <v>23753.160000000003</v>
      </c>
      <c r="M23" s="10">
        <f>13782.24+4730.25</f>
        <v>18512.489999999998</v>
      </c>
      <c r="N23" s="10">
        <v>5880.14</v>
      </c>
      <c r="O23" s="12">
        <v>0</v>
      </c>
      <c r="P23" s="12">
        <v>0</v>
      </c>
      <c r="Q23" s="10">
        <v>11876.580000000002</v>
      </c>
      <c r="R23" s="13">
        <f t="shared" si="0"/>
        <v>125134.959</v>
      </c>
      <c r="S23" s="1"/>
    </row>
    <row r="24" spans="1:19" x14ac:dyDescent="0.3">
      <c r="A24" s="30" t="s">
        <v>45</v>
      </c>
      <c r="B24" s="86">
        <v>150474.98000000001</v>
      </c>
      <c r="C24" s="87"/>
      <c r="D24" s="31">
        <v>166183.51999999999</v>
      </c>
      <c r="E24" s="16"/>
      <c r="F24" s="10">
        <v>9897.1500000000015</v>
      </c>
      <c r="G24" s="10">
        <v>11115.056</v>
      </c>
      <c r="H24" s="11">
        <v>11216.77</v>
      </c>
      <c r="I24" s="10">
        <v>3800</v>
      </c>
      <c r="J24" s="10">
        <v>22103.635000000002</v>
      </c>
      <c r="K24" s="10">
        <v>10779.977999999999</v>
      </c>
      <c r="L24" s="10">
        <v>23753.160000000003</v>
      </c>
      <c r="M24" s="10">
        <f>7178.25+2352</f>
        <v>9530.25</v>
      </c>
      <c r="N24" s="10">
        <v>0</v>
      </c>
      <c r="O24" s="12">
        <v>3123</v>
      </c>
      <c r="P24" s="12">
        <v>0</v>
      </c>
      <c r="Q24" s="10">
        <v>11876.580000000002</v>
      </c>
      <c r="R24" s="13">
        <f t="shared" si="0"/>
        <v>117195.57900000001</v>
      </c>
      <c r="S24" s="1"/>
    </row>
    <row r="25" spans="1:19" x14ac:dyDescent="0.3">
      <c r="A25" s="30" t="s">
        <v>46</v>
      </c>
      <c r="B25" s="86">
        <v>141492.29999999999</v>
      </c>
      <c r="C25" s="87"/>
      <c r="D25" s="31">
        <v>130043.57</v>
      </c>
      <c r="E25" s="16"/>
      <c r="F25" s="10">
        <v>9897.1500000000015</v>
      </c>
      <c r="G25" s="10">
        <v>11115.056</v>
      </c>
      <c r="H25" s="11">
        <v>11216.77</v>
      </c>
      <c r="I25" s="10">
        <v>3800</v>
      </c>
      <c r="J25" s="10">
        <v>22103.635000000002</v>
      </c>
      <c r="K25" s="10">
        <v>10779.977999999999</v>
      </c>
      <c r="L25" s="10">
        <v>23753.160000000003</v>
      </c>
      <c r="M25" s="10">
        <f>8422.48+3864</f>
        <v>12286.48</v>
      </c>
      <c r="N25" s="10">
        <v>0</v>
      </c>
      <c r="O25" s="12">
        <v>0</v>
      </c>
      <c r="P25" s="12">
        <v>0</v>
      </c>
      <c r="Q25" s="10">
        <v>11876.580000000002</v>
      </c>
      <c r="R25" s="13">
        <f t="shared" si="0"/>
        <v>116828.80900000001</v>
      </c>
      <c r="S25" s="1"/>
    </row>
    <row r="26" spans="1:19" x14ac:dyDescent="0.3">
      <c r="A26" s="30" t="s">
        <v>47</v>
      </c>
      <c r="B26" s="86">
        <v>144248.31</v>
      </c>
      <c r="C26" s="87"/>
      <c r="D26" s="31">
        <v>175290.17</v>
      </c>
      <c r="E26" s="16"/>
      <c r="F26" s="10">
        <v>9897.1500000000015</v>
      </c>
      <c r="G26" s="10">
        <v>11115.056</v>
      </c>
      <c r="H26" s="11">
        <v>11216.77</v>
      </c>
      <c r="I26" s="10">
        <v>3800</v>
      </c>
      <c r="J26" s="10">
        <v>22103.635000000002</v>
      </c>
      <c r="K26" s="10">
        <v>10779.977999999999</v>
      </c>
      <c r="L26" s="10">
        <v>23753.160000000003</v>
      </c>
      <c r="M26" s="10">
        <f>7616.09+4271.08</f>
        <v>11887.17</v>
      </c>
      <c r="N26" s="10">
        <v>0</v>
      </c>
      <c r="O26" s="12">
        <v>0</v>
      </c>
      <c r="P26" s="12">
        <v>0</v>
      </c>
      <c r="Q26" s="10">
        <v>11876.580000000002</v>
      </c>
      <c r="R26" s="13">
        <f t="shared" si="0"/>
        <v>116429.49900000001</v>
      </c>
    </row>
    <row r="27" spans="1:19" x14ac:dyDescent="0.3">
      <c r="A27" s="37" t="s">
        <v>54</v>
      </c>
      <c r="B27" s="86">
        <v>0</v>
      </c>
      <c r="C27" s="87"/>
      <c r="D27" s="31">
        <f>1655.4+455.4+1655.4</f>
        <v>3766.2000000000003</v>
      </c>
      <c r="E27" s="16"/>
      <c r="F27" s="10"/>
      <c r="G27" s="10"/>
      <c r="H27" s="11"/>
      <c r="I27" s="10"/>
      <c r="J27" s="10"/>
      <c r="K27" s="10"/>
      <c r="L27" s="10"/>
      <c r="M27" s="10"/>
      <c r="N27" s="10"/>
      <c r="O27" s="12"/>
      <c r="P27" s="12"/>
      <c r="Q27" s="10"/>
      <c r="R27" s="13"/>
    </row>
    <row r="28" spans="1:19" x14ac:dyDescent="0.3">
      <c r="A28" s="37" t="s">
        <v>9</v>
      </c>
      <c r="B28" s="86">
        <v>0</v>
      </c>
      <c r="C28" s="87"/>
      <c r="D28" s="31">
        <f>1800+1800+1800+1800</f>
        <v>7200</v>
      </c>
      <c r="E28" s="16"/>
      <c r="F28" s="10"/>
      <c r="G28" s="10"/>
      <c r="H28" s="10"/>
      <c r="I28" s="10"/>
      <c r="J28" s="10"/>
      <c r="K28" s="10"/>
      <c r="L28" s="10"/>
      <c r="M28" s="10"/>
      <c r="N28" s="10"/>
      <c r="O28" s="12"/>
      <c r="P28" s="12"/>
      <c r="Q28" s="10"/>
      <c r="R28" s="13"/>
    </row>
    <row r="29" spans="1:19" x14ac:dyDescent="0.3">
      <c r="A29" s="37" t="s">
        <v>55</v>
      </c>
      <c r="B29" s="86">
        <v>0</v>
      </c>
      <c r="C29" s="87"/>
      <c r="D29" s="31">
        <v>0</v>
      </c>
      <c r="E29" s="16"/>
      <c r="F29" s="10"/>
      <c r="G29" s="10"/>
      <c r="H29" s="10"/>
      <c r="I29" s="10"/>
      <c r="J29" s="10"/>
      <c r="K29" s="10"/>
      <c r="L29" s="10"/>
      <c r="M29" s="10"/>
      <c r="N29" s="10"/>
      <c r="O29" s="12"/>
      <c r="P29" s="12"/>
      <c r="Q29" s="10"/>
      <c r="R29" s="13"/>
    </row>
    <row r="30" spans="1:19" ht="20.399999999999999" x14ac:dyDescent="0.3">
      <c r="A30" s="37" t="s">
        <v>6</v>
      </c>
      <c r="B30" s="86">
        <v>0</v>
      </c>
      <c r="C30" s="87"/>
      <c r="D30" s="31">
        <v>0</v>
      </c>
      <c r="E30" s="16"/>
      <c r="F30" s="10"/>
      <c r="G30" s="10"/>
      <c r="H30" s="10"/>
      <c r="I30" s="10"/>
      <c r="J30" s="10"/>
      <c r="K30" s="10"/>
      <c r="L30" s="10"/>
      <c r="M30" s="10"/>
      <c r="N30" s="10"/>
      <c r="O30" s="12"/>
      <c r="P30" s="12"/>
      <c r="Q30" s="10"/>
      <c r="R30" s="13"/>
    </row>
    <row r="31" spans="1:19" x14ac:dyDescent="0.3">
      <c r="A31" s="17" t="s">
        <v>1</v>
      </c>
      <c r="B31" s="101">
        <f>SUM(B15:B30)</f>
        <v>1572857.1700000002</v>
      </c>
      <c r="C31" s="102"/>
      <c r="D31" s="18">
        <f>SUM(D15:D30)</f>
        <v>1509862.9699999997</v>
      </c>
      <c r="E31" s="18"/>
      <c r="F31" s="18">
        <f t="shared" ref="F31:R31" si="1">SUM(F15:F30)</f>
        <v>118765.79999999999</v>
      </c>
      <c r="G31" s="18">
        <f t="shared" si="1"/>
        <v>144283.51199999999</v>
      </c>
      <c r="H31" s="18">
        <f t="shared" si="1"/>
        <v>134601.24000000002</v>
      </c>
      <c r="I31" s="18">
        <f t="shared" si="1"/>
        <v>26600</v>
      </c>
      <c r="J31" s="18">
        <f t="shared" si="1"/>
        <v>205338.16400000002</v>
      </c>
      <c r="K31" s="18">
        <f t="shared" si="1"/>
        <v>143860.06599999999</v>
      </c>
      <c r="L31" s="18">
        <f t="shared" si="1"/>
        <v>285037.92000000004</v>
      </c>
      <c r="M31" s="18">
        <f t="shared" si="1"/>
        <v>147029.05000000002</v>
      </c>
      <c r="N31" s="18">
        <f t="shared" si="1"/>
        <v>41959.34</v>
      </c>
      <c r="O31" s="18">
        <f t="shared" si="1"/>
        <v>58054</v>
      </c>
      <c r="P31" s="18">
        <f t="shared" si="1"/>
        <v>143675</v>
      </c>
      <c r="Q31" s="18">
        <f t="shared" si="1"/>
        <v>142518.96000000002</v>
      </c>
      <c r="R31" s="19">
        <f t="shared" si="1"/>
        <v>1591723.0519999999</v>
      </c>
    </row>
    <row r="32" spans="1:19" x14ac:dyDescent="0.3">
      <c r="A32" s="32"/>
      <c r="B32" s="100"/>
      <c r="C32" s="100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 t="s">
        <v>48</v>
      </c>
      <c r="Q32" s="99">
        <f>E13+D31-R31</f>
        <v>-128418.42600000068</v>
      </c>
      <c r="R32" s="99"/>
    </row>
    <row r="33" spans="2:21" x14ac:dyDescent="0.3">
      <c r="B33" t="s">
        <v>3</v>
      </c>
      <c r="C33">
        <v>549</v>
      </c>
      <c r="D33" t="s">
        <v>64</v>
      </c>
      <c r="F33" s="1"/>
    </row>
    <row r="34" spans="2:21" x14ac:dyDescent="0.3">
      <c r="C34">
        <v>1010</v>
      </c>
      <c r="D34" t="s">
        <v>65</v>
      </c>
      <c r="K34" s="35" t="s">
        <v>17</v>
      </c>
      <c r="L34" s="35">
        <v>10118.469999999999</v>
      </c>
      <c r="M34" s="35" t="s">
        <v>57</v>
      </c>
      <c r="N34" s="35">
        <v>25.3</v>
      </c>
      <c r="O34" s="35" t="s">
        <v>58</v>
      </c>
      <c r="P34" s="35">
        <v>10.45</v>
      </c>
      <c r="Q34" s="36" t="s">
        <v>19</v>
      </c>
      <c r="R34" s="1"/>
    </row>
    <row r="35" spans="2:21" x14ac:dyDescent="0.3">
      <c r="C35">
        <v>463</v>
      </c>
      <c r="D35" t="s">
        <v>64</v>
      </c>
      <c r="K35" s="35" t="s">
        <v>3</v>
      </c>
      <c r="L35" s="35">
        <v>7612.06</v>
      </c>
      <c r="M35" s="35" t="s">
        <v>57</v>
      </c>
      <c r="N35" s="35">
        <v>2418.6799999999998</v>
      </c>
      <c r="O35" s="35" t="s">
        <v>58</v>
      </c>
      <c r="P35" s="35">
        <v>0</v>
      </c>
      <c r="Q35" s="36" t="s">
        <v>19</v>
      </c>
      <c r="R35" s="1"/>
    </row>
    <row r="36" spans="2:21" x14ac:dyDescent="0.3">
      <c r="B36" t="s">
        <v>7</v>
      </c>
      <c r="C36">
        <v>5023</v>
      </c>
      <c r="D36" t="s">
        <v>62</v>
      </c>
      <c r="I36" s="1"/>
      <c r="K36" s="35" t="s">
        <v>5</v>
      </c>
      <c r="L36" s="35">
        <v>8076.21</v>
      </c>
      <c r="M36" s="35" t="s">
        <v>57</v>
      </c>
      <c r="N36" s="35">
        <v>4478.1000000000004</v>
      </c>
      <c r="O36" s="35" t="s">
        <v>58</v>
      </c>
      <c r="P36" s="35">
        <v>3996.68</v>
      </c>
      <c r="Q36" s="36" t="s">
        <v>19</v>
      </c>
      <c r="R36" s="1"/>
    </row>
    <row r="37" spans="2:21" x14ac:dyDescent="0.3">
      <c r="C37">
        <v>975</v>
      </c>
      <c r="D37" t="s">
        <v>66</v>
      </c>
      <c r="E37" s="39"/>
      <c r="K37" s="35" t="s">
        <v>7</v>
      </c>
      <c r="L37" s="35">
        <v>7704.89</v>
      </c>
      <c r="M37" s="35" t="s">
        <v>57</v>
      </c>
      <c r="N37" s="35">
        <v>3481.28</v>
      </c>
      <c r="O37" s="35" t="s">
        <v>58</v>
      </c>
      <c r="P37" s="35">
        <v>0</v>
      </c>
      <c r="Q37" s="36" t="s">
        <v>19</v>
      </c>
      <c r="R37" s="1"/>
    </row>
    <row r="38" spans="2:21" x14ac:dyDescent="0.3">
      <c r="B38" t="s">
        <v>8</v>
      </c>
      <c r="C38">
        <v>610</v>
      </c>
      <c r="D38" t="s">
        <v>67</v>
      </c>
      <c r="G38" s="39"/>
      <c r="K38" s="35" t="s">
        <v>8</v>
      </c>
      <c r="L38" s="35">
        <v>8076.21</v>
      </c>
      <c r="M38" s="35" t="s">
        <v>57</v>
      </c>
      <c r="N38" s="35">
        <v>1983.52</v>
      </c>
      <c r="O38" s="35" t="s">
        <v>58</v>
      </c>
      <c r="P38" s="35">
        <v>0</v>
      </c>
      <c r="Q38" s="36" t="s">
        <v>19</v>
      </c>
      <c r="R38" s="1"/>
    </row>
    <row r="39" spans="2:21" x14ac:dyDescent="0.3">
      <c r="C39">
        <v>10442</v>
      </c>
      <c r="D39" t="s">
        <v>49</v>
      </c>
      <c r="F39" s="39"/>
      <c r="G39" s="39"/>
      <c r="K39" s="35" t="s">
        <v>10</v>
      </c>
      <c r="L39" s="35">
        <v>6683.76</v>
      </c>
      <c r="M39" s="35" t="s">
        <v>57</v>
      </c>
      <c r="N39" s="35">
        <v>1715.34</v>
      </c>
      <c r="O39" s="35" t="s">
        <v>58</v>
      </c>
      <c r="P39" s="35">
        <v>0</v>
      </c>
      <c r="Q39" s="36" t="s">
        <v>19</v>
      </c>
      <c r="R39" s="1"/>
    </row>
    <row r="40" spans="2:21" x14ac:dyDescent="0.3">
      <c r="B40" t="s">
        <v>12</v>
      </c>
      <c r="C40">
        <v>2727.2</v>
      </c>
      <c r="D40" t="s">
        <v>69</v>
      </c>
      <c r="K40" s="35" t="s">
        <v>11</v>
      </c>
      <c r="L40" s="35">
        <v>15696.44</v>
      </c>
      <c r="M40" s="35" t="s">
        <v>57</v>
      </c>
      <c r="N40" s="35">
        <v>7344.75</v>
      </c>
      <c r="O40" s="35" t="s">
        <v>58</v>
      </c>
      <c r="P40" s="35">
        <v>0</v>
      </c>
      <c r="Q40" s="36" t="s">
        <v>19</v>
      </c>
      <c r="R40" s="1"/>
    </row>
    <row r="41" spans="2:21" x14ac:dyDescent="0.3">
      <c r="C41">
        <v>14280</v>
      </c>
      <c r="D41" t="s">
        <v>70</v>
      </c>
      <c r="K41" s="35" t="s">
        <v>12</v>
      </c>
      <c r="L41" s="35">
        <v>1148.52</v>
      </c>
      <c r="M41" s="35" t="s">
        <v>57</v>
      </c>
      <c r="N41" s="35">
        <v>4242</v>
      </c>
      <c r="O41" s="35" t="s">
        <v>58</v>
      </c>
      <c r="P41" s="35">
        <v>0</v>
      </c>
      <c r="Q41" s="36" t="s">
        <v>19</v>
      </c>
      <c r="R41" s="1"/>
    </row>
    <row r="42" spans="2:21" x14ac:dyDescent="0.3">
      <c r="B42" t="s">
        <v>13</v>
      </c>
      <c r="C42" s="1">
        <v>5880.14</v>
      </c>
      <c r="D42" t="s">
        <v>59</v>
      </c>
      <c r="K42" s="35" t="s">
        <v>13</v>
      </c>
      <c r="L42" s="35">
        <v>13782.24</v>
      </c>
      <c r="M42" s="35" t="s">
        <v>57</v>
      </c>
      <c r="N42" s="35">
        <v>4730.25</v>
      </c>
      <c r="O42" s="35" t="s">
        <v>58</v>
      </c>
      <c r="P42" s="35">
        <v>0</v>
      </c>
      <c r="Q42" s="36" t="s">
        <v>19</v>
      </c>
    </row>
    <row r="43" spans="2:21" x14ac:dyDescent="0.3">
      <c r="K43" s="35" t="s">
        <v>14</v>
      </c>
      <c r="L43" s="35">
        <v>7178.25</v>
      </c>
      <c r="M43" s="35" t="s">
        <v>57</v>
      </c>
      <c r="N43" s="35">
        <v>2352</v>
      </c>
      <c r="O43" s="35" t="s">
        <v>58</v>
      </c>
      <c r="P43" s="35">
        <v>0</v>
      </c>
      <c r="Q43" s="36" t="s">
        <v>19</v>
      </c>
    </row>
    <row r="44" spans="2:21" x14ac:dyDescent="0.3">
      <c r="K44" s="35" t="s">
        <v>15</v>
      </c>
      <c r="L44" s="35">
        <v>8422.48</v>
      </c>
      <c r="M44" s="35" t="s">
        <v>57</v>
      </c>
      <c r="N44" s="35">
        <v>3864</v>
      </c>
      <c r="O44" s="35" t="s">
        <v>58</v>
      </c>
      <c r="P44" s="35">
        <v>0</v>
      </c>
      <c r="Q44" s="36" t="s">
        <v>19</v>
      </c>
    </row>
    <row r="45" spans="2:21" x14ac:dyDescent="0.3">
      <c r="K45" s="35" t="s">
        <v>16</v>
      </c>
      <c r="L45" s="35">
        <v>7616.09</v>
      </c>
      <c r="M45" s="35" t="s">
        <v>57</v>
      </c>
      <c r="N45" s="35">
        <v>4271.08</v>
      </c>
      <c r="O45" s="35" t="s">
        <v>58</v>
      </c>
      <c r="P45" s="35">
        <v>0</v>
      </c>
      <c r="Q45" s="36" t="s">
        <v>19</v>
      </c>
    </row>
    <row r="46" spans="2:21" x14ac:dyDescent="0.3">
      <c r="L46" s="39"/>
      <c r="M46" s="39"/>
      <c r="N46" s="39"/>
      <c r="P46" s="39"/>
      <c r="R46" s="39"/>
      <c r="S46" s="39"/>
      <c r="U46" s="39"/>
    </row>
  </sheetData>
  <mergeCells count="48">
    <mergeCell ref="Q32:R32"/>
    <mergeCell ref="B27:C27"/>
    <mergeCell ref="B28:C28"/>
    <mergeCell ref="B29:C29"/>
    <mergeCell ref="B30:C30"/>
    <mergeCell ref="B31:C31"/>
    <mergeCell ref="B32:C32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O10:P10"/>
    <mergeCell ref="A11:E11"/>
    <mergeCell ref="A12:E12"/>
    <mergeCell ref="F12:R12"/>
    <mergeCell ref="A13:D13"/>
    <mergeCell ref="B14:C14"/>
    <mergeCell ref="I6:I7"/>
    <mergeCell ref="J6:J7"/>
    <mergeCell ref="K6:K7"/>
    <mergeCell ref="L6:L7"/>
    <mergeCell ref="A10:D10"/>
    <mergeCell ref="F10:N10"/>
    <mergeCell ref="C6:C7"/>
    <mergeCell ref="D6:D7"/>
    <mergeCell ref="E6:E7"/>
    <mergeCell ref="F6:F7"/>
    <mergeCell ref="G6:G7"/>
    <mergeCell ref="H6:H7"/>
    <mergeCell ref="A2:R2"/>
    <mergeCell ref="A3:R3"/>
    <mergeCell ref="A4:E4"/>
    <mergeCell ref="F4:Q4"/>
    <mergeCell ref="B5:E5"/>
    <mergeCell ref="F5:N5"/>
    <mergeCell ref="O5:P6"/>
    <mergeCell ref="Q5:Q7"/>
    <mergeCell ref="R5:R7"/>
    <mergeCell ref="B6:B7"/>
    <mergeCell ref="M6:N6"/>
  </mergeCells>
  <pageMargins left="0.40322916666666669" right="0.43614583333333334" top="0.75" bottom="0.75" header="0.3" footer="0.3"/>
  <pageSetup paperSize="9" scale="79" orientation="landscape" horizontalDpi="0" verticalDpi="0" r:id="rId1"/>
  <ignoredErrors>
    <ignoredError sqref="K2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2023-02-10T07:20:46Z</dcterms:modified>
</cp:coreProperties>
</file>